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ce\workgroup\CSBU4\TP&amp;S Systems\Event Dispatch\Reporting\2023\Monthly ILP\06 June 2023\"/>
    </mc:Choice>
  </mc:AlternateContent>
  <xr:revisionPtr revIDLastSave="0" documentId="13_ncr:1_{67AC1437-01F6-4321-9128-926C5FFB1CA3}" xr6:coauthVersionLast="45" xr6:coauthVersionMax="45" xr10:uidLastSave="{00000000-0000-0000-0000-000000000000}"/>
  <bookViews>
    <workbookView xWindow="-120" yWindow="-120" windowWidth="29040" windowHeight="15840" tabRatio="965" firstSheet="1" activeTab="1" xr2:uid="{15BFD274-8CC1-44A9-BD49-57E392709670}"/>
  </bookViews>
  <sheets>
    <sheet name="Program Names" sheetId="1" state="hidden" r:id="rId1"/>
    <sheet name="Program Ex Ante &amp; Ex Post MWs" sheetId="2" r:id="rId2"/>
    <sheet name="Load Impacts (ExPost &amp; ExAnte)" sheetId="10" r:id="rId3"/>
    <sheet name="Auto DR Current Cycle" sheetId="7" r:id="rId4"/>
    <sheet name="Auto DR Carryover Cycles" sheetId="6" r:id="rId5"/>
    <sheet name="2023 DRP Expenditures" sheetId="8" r:id="rId6"/>
    <sheet name="DRP Carryover Expenditures" sheetId="15" r:id="rId7"/>
    <sheet name="Incentives" sheetId="11" r:id="rId8"/>
    <sheet name="Fund Shift Log" sheetId="16" r:id="rId9"/>
    <sheet name="Marketing Monthly" sheetId="12" r:id="rId10"/>
    <sheet name="Marketing Quarterly" sheetId="14" r:id="rId11"/>
    <sheet name="Event Summary" sheetId="13" r:id="rId12"/>
  </sheets>
  <externalReferences>
    <externalReference r:id="rId13"/>
  </externalReferences>
  <definedNames>
    <definedName name="_xlnm._FilterDatabase" localSheetId="11" hidden="1">'Event Summary'!$A$5:$K$5</definedName>
    <definedName name="_xlnm._FilterDatabase" localSheetId="9" hidden="1">'Marketing Monthly'!$B$1:$Q$10</definedName>
    <definedName name="_xlnm._FilterDatabase" localSheetId="10" hidden="1">'Marketing Quarterly'!$B$1:$I$10</definedName>
    <definedName name="API" localSheetId="8">'[1]Program Names'!$A$2</definedName>
    <definedName name="API">'Program Names'!$A$2</definedName>
    <definedName name="API_I" localSheetId="8">'[1]Program Names'!$A$3</definedName>
    <definedName name="API_I">'Program Names'!$A$3</definedName>
    <definedName name="BIP_15" localSheetId="8">'[1]Program Names'!$A$4</definedName>
    <definedName name="BIP_15">'Program Names'!$A$4</definedName>
    <definedName name="BIP_30" localSheetId="8">'[1]Program Names'!$A$5</definedName>
    <definedName name="BIP_30">'Program Names'!$A$5</definedName>
    <definedName name="BIP_I" localSheetId="8">'[1]Program Names'!$A$7</definedName>
    <definedName name="BIP_I">'Program Names'!$A$7</definedName>
    <definedName name="BIPG" localSheetId="8">'[1]Program Names'!$A$6</definedName>
    <definedName name="BIPG">'Program Names'!$A$6</definedName>
    <definedName name="CBP_DA" localSheetId="8">'[1]Program Names'!$A$8</definedName>
    <definedName name="CBP_DA">'Program Names'!$A$8</definedName>
    <definedName name="CBP_DO" localSheetId="8">'[1]Program Names'!$A$9</definedName>
    <definedName name="CBP_DO">'Program Names'!$A$9</definedName>
    <definedName name="CBP_I" localSheetId="8">'[1]Program Names'!$A$11</definedName>
    <definedName name="CBP_I">'Program Names'!$A$11</definedName>
    <definedName name="CBPG" localSheetId="8">'[1]Program Names'!$A$10</definedName>
    <definedName name="CBPG">'Program Names'!$A$10</definedName>
    <definedName name="CBPR" localSheetId="8">'[1]Program Names'!$A$12</definedName>
    <definedName name="CBPR">'Program Names'!$A$12</definedName>
    <definedName name="CHARG" localSheetId="8">'[1]Program Names'!$A$13</definedName>
    <definedName name="CHARG">'Program Names'!$A$13</definedName>
    <definedName name="CHARG_I">'Program Names'!$A$14</definedName>
    <definedName name="CLCP" localSheetId="8">'[1]Program Names'!$A$15</definedName>
    <definedName name="CLCP">'Program Names'!$A$15</definedName>
    <definedName name="CLCP_I" localSheetId="8">'[1]Program Names'!$A$16</definedName>
    <definedName name="CLCP_I">'Program Names'!$A$16</definedName>
    <definedName name="CPP" localSheetId="8">'[1]Program Names'!$A$17</definedName>
    <definedName name="CPP">'Program Names'!$A$17</definedName>
    <definedName name="CPP_LG" localSheetId="8">'[1]Program Names'!$A$20</definedName>
    <definedName name="CPP_LG">'Program Names'!$A$20</definedName>
    <definedName name="CPP_MED" localSheetId="8">'[1]Program Names'!$A$19</definedName>
    <definedName name="CPP_MED">'Program Names'!$A$19</definedName>
    <definedName name="CPP_SM" localSheetId="8">'[1]Program Names'!$A$18</definedName>
    <definedName name="CPP_SM">'Program Names'!$A$18</definedName>
    <definedName name="DBP" localSheetId="8">'[1]Program Names'!$A$21</definedName>
    <definedName name="DBP">'Program Names'!$A$21</definedName>
    <definedName name="DRAM" localSheetId="8">'[1]Program Names'!$A$22</definedName>
    <definedName name="DRAM">'Program Names'!$A$22</definedName>
    <definedName name="DRPS" localSheetId="8">'[1]Program Names'!$A$23</definedName>
    <definedName name="DRPS">'Program Names'!$A$23</definedName>
    <definedName name="DRR_24" localSheetId="8">'[1]Program Names'!$A$24</definedName>
    <definedName name="DRR_24">'Program Names'!$A$24</definedName>
    <definedName name="DRST" localSheetId="8">'[1]Program Names'!$A$25</definedName>
    <definedName name="DRST">'Program Names'!$A$25</definedName>
    <definedName name="ELRP" localSheetId="8">'[1]Program Names'!$A$26</definedName>
    <definedName name="ELRP">'Program Names'!$A$26</definedName>
    <definedName name="ELRP_I">'Program Names'!$A$27</definedName>
    <definedName name="EMT" localSheetId="8">'[1]Program Names'!$A$28</definedName>
    <definedName name="EMT">'Program Names'!$A$28</definedName>
    <definedName name="EMV" localSheetId="8">'[1]Program Names'!$A$29</definedName>
    <definedName name="EMV">'Program Names'!$A$29</definedName>
    <definedName name="ExAnteData" localSheetId="8">'[1]Load Impacts (ExPost &amp; ExAnte)'!$D$32:$O$46</definedName>
    <definedName name="ExAnteData">'Load Impacts (ExPost &amp; ExAnte)'!$D$32:$O$46</definedName>
    <definedName name="ExAnteMo" localSheetId="8">'[1]Load Impacts (ExPost &amp; ExAnte)'!$D$30:$O$30</definedName>
    <definedName name="ExAnteMo">'Load Impacts (ExPost &amp; ExAnte)'!$D$30:$O$30</definedName>
    <definedName name="ExAnteProg" localSheetId="8">'[1]Load Impacts (ExPost &amp; ExAnte)'!$B$32:$B$46</definedName>
    <definedName name="ExAnteProg">'Load Impacts (ExPost &amp; ExAnte)'!$B$32:$B$46</definedName>
    <definedName name="ExPostData" localSheetId="8">'[1]Load Impacts (ExPost &amp; ExAnte)'!$D$8:$O$22</definedName>
    <definedName name="ExPostData">'Load Impacts (ExPost &amp; ExAnte)'!$D$8:$O$22</definedName>
    <definedName name="ExPostMo" localSheetId="8">'[1]Load Impacts (ExPost &amp; ExAnte)'!$D$6:$O$6</definedName>
    <definedName name="ExPostMo">'Load Impacts (ExPost &amp; ExAnte)'!$D$6:$O$6</definedName>
    <definedName name="ExPostProg" localSheetId="8">'[1]Load Impacts (ExPost &amp; ExAnte)'!$B$8:$B$22</definedName>
    <definedName name="ExPostProg">'Load Impacts (ExPost &amp; ExAnte)'!$B$8:$B$22</definedName>
    <definedName name="IDSM_NR" localSheetId="8">'[1]Program Names'!$A$30</definedName>
    <definedName name="IDSM_NR">'Program Names'!$A$30</definedName>
    <definedName name="IDSM_R" localSheetId="8">'[1]Program Names'!$A$31</definedName>
    <definedName name="IDSM_R">'Program Names'!$A$31</definedName>
    <definedName name="OBMC" localSheetId="8">'[1]Program Names'!$A$33</definedName>
    <definedName name="OBMC">'Program Names'!$A$33</definedName>
    <definedName name="OLM" localSheetId="8">'[1]Program Names'!$A$32</definedName>
    <definedName name="OLM">'Program Names'!$A$32</definedName>
    <definedName name="_xlnm.Print_Area" localSheetId="6">'DRP Carryover Expenditures'!$A$1:$P$60</definedName>
    <definedName name="_xlnm.Print_Area" localSheetId="8">'Fund Shift Log'!$B$1:$G$24</definedName>
    <definedName name="_xlnm.Print_Area" localSheetId="7">Incentives!$B$1:$T$26</definedName>
    <definedName name="_xlnm.Print_Area" localSheetId="9">'Marketing Monthly'!$A$1:$R$124</definedName>
    <definedName name="_xlnm.Print_Area" localSheetId="10">'Marketing Quarterly'!$A$1:$J$124</definedName>
    <definedName name="_xlnm.Print_Area" localSheetId="1">'Program Ex Ante &amp; Ex Post MWs'!$A$1:$W$50</definedName>
    <definedName name="ROTO" localSheetId="8">'[1]Program Names'!$A$35</definedName>
    <definedName name="ROTO">'Program Names'!$A$35</definedName>
    <definedName name="RTP" localSheetId="8">'[1]Program Names'!$A$34</definedName>
    <definedName name="RTP">'Program Names'!$A$34</definedName>
    <definedName name="SCT" localSheetId="8">'[1]Program Names'!$A$37</definedName>
    <definedName name="SCT">'Program Names'!$A$37</definedName>
    <definedName name="SDP_I" localSheetId="8">'[1]Program Names'!$A$44</definedName>
    <definedName name="SDP_I">'Program Names'!$A$44</definedName>
    <definedName name="SDPC" localSheetId="8">'[1]Program Names'!$A$41</definedName>
    <definedName name="SDPC">'Program Names'!$A$41</definedName>
    <definedName name="SDPG" localSheetId="8">'[1]Program Names'!$A$43</definedName>
    <definedName name="SDPG">'Program Names'!$A$43</definedName>
    <definedName name="SDPR" localSheetId="8">'[1]Program Names'!$A$42</definedName>
    <definedName name="SDPR">'Program Names'!$A$42</definedName>
    <definedName name="SEP" localSheetId="8">'[1]Program Names'!$A$38</definedName>
    <definedName name="SEP">'Program Names'!$A$38</definedName>
    <definedName name="SEP_I" localSheetId="8">'[1]Program Names'!$A$39</definedName>
    <definedName name="SEP_I">'Program Names'!$A$39</definedName>
    <definedName name="SLRP" localSheetId="8">'[1]Program Names'!$A$36</definedName>
    <definedName name="SLRP">'Program Names'!$A$36</definedName>
    <definedName name="SWMEO" localSheetId="8">'[1]Program Names'!$A$40</definedName>
    <definedName name="SWMEO">'Program Names'!$A$40</definedName>
    <definedName name="TIP" localSheetId="8">'[1]Program Names'!$A$45</definedName>
    <definedName name="TIP">'Program Names'!$A$45</definedName>
    <definedName name="VPP">'Program Names'!$A$46</definedName>
    <definedName name="VPP_I">'Program Names'!$A$47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14" l="1"/>
  <c r="D29" i="14"/>
  <c r="D26" i="14"/>
  <c r="D25" i="14"/>
  <c r="D24" i="14"/>
  <c r="D21" i="14"/>
  <c r="D20" i="14"/>
  <c r="D19" i="14"/>
  <c r="D18" i="14"/>
  <c r="D17" i="14"/>
  <c r="D49" i="14" s="1"/>
  <c r="F49" i="12"/>
  <c r="D86" i="14"/>
  <c r="D85" i="14"/>
  <c r="D84" i="14"/>
  <c r="D83" i="14"/>
  <c r="D82" i="14"/>
  <c r="D79" i="14"/>
  <c r="D78" i="14"/>
  <c r="D77" i="14"/>
  <c r="D76" i="14"/>
  <c r="D75" i="14"/>
  <c r="D65" i="14"/>
  <c r="D64" i="14"/>
  <c r="D63" i="14"/>
  <c r="D62" i="14"/>
  <c r="D61" i="14"/>
  <c r="D58" i="14"/>
  <c r="D57" i="14"/>
  <c r="D56" i="14"/>
  <c r="D55" i="14"/>
  <c r="D54" i="14"/>
  <c r="D36" i="14"/>
  <c r="D32" i="14"/>
  <c r="D9" i="14"/>
  <c r="D8" i="14"/>
  <c r="D42" i="14" l="1"/>
  <c r="D38" i="14"/>
  <c r="D37" i="14"/>
  <c r="K17" i="8" l="1"/>
  <c r="K10" i="11"/>
  <c r="J10" i="11"/>
  <c r="K9" i="11"/>
  <c r="K9" i="8"/>
  <c r="K75" i="13" l="1"/>
  <c r="K73" i="13"/>
  <c r="K71" i="13"/>
  <c r="K69" i="13"/>
  <c r="K67" i="13"/>
  <c r="K65" i="13"/>
  <c r="K15" i="8" l="1"/>
  <c r="K11" i="11"/>
  <c r="J11" i="11" l="1"/>
  <c r="J9" i="11" l="1"/>
  <c r="H30" i="15" l="1"/>
  <c r="H25" i="15"/>
  <c r="H36" i="15" l="1"/>
  <c r="H41" i="15"/>
  <c r="H16" i="15"/>
  <c r="H47" i="15" l="1"/>
  <c r="H49" i="15" s="1"/>
  <c r="J9" i="8" l="1"/>
  <c r="J15" i="8"/>
  <c r="J17" i="8"/>
  <c r="I17" i="8" l="1"/>
  <c r="I15" i="8"/>
  <c r="I11" i="11"/>
  <c r="I10" i="11"/>
  <c r="I9" i="11"/>
  <c r="I9" i="8"/>
  <c r="O21" i="2"/>
  <c r="O13" i="2"/>
  <c r="U42" i="2"/>
  <c r="T42" i="2"/>
  <c r="U41" i="2"/>
  <c r="T41" i="2"/>
  <c r="U40" i="2"/>
  <c r="T40" i="2"/>
  <c r="R42" i="2"/>
  <c r="Q42" i="2"/>
  <c r="R41" i="2"/>
  <c r="Q41" i="2"/>
  <c r="R40" i="2"/>
  <c r="Q40" i="2"/>
  <c r="O42" i="2"/>
  <c r="N42" i="2"/>
  <c r="O41" i="2"/>
  <c r="N41" i="2"/>
  <c r="O40" i="2"/>
  <c r="N40" i="2"/>
  <c r="L42" i="2"/>
  <c r="K42" i="2"/>
  <c r="L41" i="2"/>
  <c r="K41" i="2"/>
  <c r="L40" i="2"/>
  <c r="K40" i="2"/>
  <c r="I42" i="2"/>
  <c r="H42" i="2"/>
  <c r="I41" i="2"/>
  <c r="H41" i="2"/>
  <c r="I40" i="2"/>
  <c r="H40" i="2"/>
  <c r="F41" i="2"/>
  <c r="F42" i="2"/>
  <c r="F40" i="2"/>
  <c r="E41" i="2"/>
  <c r="E42" i="2"/>
  <c r="E40" i="2"/>
  <c r="U21" i="2"/>
  <c r="T21" i="2"/>
  <c r="U20" i="2"/>
  <c r="T20" i="2"/>
  <c r="R21" i="2"/>
  <c r="Q21" i="2"/>
  <c r="R20" i="2"/>
  <c r="Q20" i="2"/>
  <c r="O20" i="2"/>
  <c r="N20" i="2"/>
  <c r="U36" i="2"/>
  <c r="T36" i="2"/>
  <c r="U35" i="2"/>
  <c r="T35" i="2"/>
  <c r="U34" i="2"/>
  <c r="T34" i="2"/>
  <c r="U33" i="2"/>
  <c r="T33" i="2"/>
  <c r="U32" i="2"/>
  <c r="T32" i="2"/>
  <c r="U31" i="2"/>
  <c r="T31" i="2"/>
  <c r="U30" i="2"/>
  <c r="T30" i="2"/>
  <c r="U29" i="2"/>
  <c r="T29" i="2"/>
  <c r="R36" i="2"/>
  <c r="Q36" i="2"/>
  <c r="R35" i="2"/>
  <c r="Q35" i="2"/>
  <c r="R34" i="2"/>
  <c r="Q34" i="2"/>
  <c r="R33" i="2"/>
  <c r="Q33" i="2"/>
  <c r="R32" i="2"/>
  <c r="Q32" i="2"/>
  <c r="R31" i="2"/>
  <c r="Q31" i="2"/>
  <c r="R30" i="2"/>
  <c r="Q30" i="2"/>
  <c r="R29" i="2"/>
  <c r="Q29" i="2"/>
  <c r="O36" i="2"/>
  <c r="N36" i="2"/>
  <c r="O35" i="2"/>
  <c r="N35" i="2"/>
  <c r="O34" i="2"/>
  <c r="N34" i="2"/>
  <c r="O33" i="2"/>
  <c r="N33" i="2"/>
  <c r="O32" i="2"/>
  <c r="N32" i="2"/>
  <c r="O31" i="2"/>
  <c r="N31" i="2"/>
  <c r="O30" i="2"/>
  <c r="N30" i="2"/>
  <c r="O29" i="2"/>
  <c r="N29" i="2"/>
  <c r="L36" i="2"/>
  <c r="K36" i="2"/>
  <c r="L35" i="2"/>
  <c r="K35" i="2"/>
  <c r="L34" i="2"/>
  <c r="K34" i="2"/>
  <c r="L33" i="2"/>
  <c r="K33" i="2"/>
  <c r="L32" i="2"/>
  <c r="K32" i="2"/>
  <c r="L31" i="2"/>
  <c r="K31" i="2"/>
  <c r="L30" i="2"/>
  <c r="K30" i="2"/>
  <c r="L29" i="2"/>
  <c r="K29" i="2"/>
  <c r="I36" i="2"/>
  <c r="H36" i="2"/>
  <c r="I35" i="2"/>
  <c r="H35" i="2"/>
  <c r="I34" i="2"/>
  <c r="H34" i="2"/>
  <c r="I33" i="2"/>
  <c r="H33" i="2"/>
  <c r="I32" i="2"/>
  <c r="H32" i="2"/>
  <c r="I31" i="2"/>
  <c r="H31" i="2"/>
  <c r="I30" i="2"/>
  <c r="H30" i="2"/>
  <c r="I29" i="2"/>
  <c r="H29" i="2"/>
  <c r="F30" i="2"/>
  <c r="F31" i="2"/>
  <c r="F32" i="2"/>
  <c r="F33" i="2"/>
  <c r="F34" i="2"/>
  <c r="F35" i="2"/>
  <c r="F36" i="2"/>
  <c r="F29" i="2"/>
  <c r="E30" i="2"/>
  <c r="E31" i="2"/>
  <c r="E32" i="2"/>
  <c r="E33" i="2"/>
  <c r="E34" i="2"/>
  <c r="E35" i="2"/>
  <c r="E36" i="2"/>
  <c r="E29" i="2"/>
  <c r="U15" i="2"/>
  <c r="T15" i="2"/>
  <c r="U14" i="2"/>
  <c r="T14" i="2"/>
  <c r="U13" i="2"/>
  <c r="T13" i="2"/>
  <c r="U10" i="2"/>
  <c r="T10" i="2"/>
  <c r="U9" i="2"/>
  <c r="T9" i="2"/>
  <c r="U8" i="2"/>
  <c r="T8" i="2"/>
  <c r="R15" i="2"/>
  <c r="Q15" i="2"/>
  <c r="R14" i="2"/>
  <c r="Q14" i="2"/>
  <c r="R13" i="2"/>
  <c r="Q13" i="2"/>
  <c r="R10" i="2"/>
  <c r="Q10" i="2"/>
  <c r="R9" i="2"/>
  <c r="Q9" i="2"/>
  <c r="R8" i="2"/>
  <c r="Q8" i="2"/>
  <c r="N21" i="2"/>
  <c r="N14" i="2"/>
  <c r="O14" i="2"/>
  <c r="N9" i="2"/>
  <c r="N15" i="2"/>
  <c r="O9" i="2"/>
  <c r="O15" i="2"/>
  <c r="N10" i="2"/>
  <c r="O10" i="2"/>
  <c r="N8" i="2"/>
  <c r="N13" i="2"/>
  <c r="H11" i="11"/>
  <c r="O8" i="2"/>
  <c r="D47" i="15"/>
  <c r="E47" i="15"/>
  <c r="G47" i="15"/>
  <c r="I47" i="15"/>
  <c r="J47" i="15"/>
  <c r="K47" i="15"/>
  <c r="L47" i="15"/>
  <c r="M47" i="15"/>
  <c r="N47" i="15"/>
  <c r="O47" i="15"/>
  <c r="F47" i="15"/>
  <c r="P44" i="15"/>
  <c r="B44" i="15"/>
  <c r="B42" i="14"/>
  <c r="C100" i="14"/>
  <c r="C99" i="14"/>
  <c r="C98" i="14"/>
  <c r="C97" i="14"/>
  <c r="C96" i="14"/>
  <c r="C93" i="14"/>
  <c r="C92" i="14"/>
  <c r="C91" i="14"/>
  <c r="C90" i="14"/>
  <c r="C89" i="14"/>
  <c r="C85" i="14"/>
  <c r="C82" i="14"/>
  <c r="C75" i="14"/>
  <c r="C72" i="14"/>
  <c r="G72" i="14" s="1"/>
  <c r="C71" i="14"/>
  <c r="G71" i="14" s="1"/>
  <c r="C70" i="14"/>
  <c r="G70" i="14" s="1"/>
  <c r="C69" i="14"/>
  <c r="C68" i="14"/>
  <c r="G68" i="14" s="1"/>
  <c r="C64" i="14"/>
  <c r="C63" i="14"/>
  <c r="C61" i="14"/>
  <c r="C57" i="14"/>
  <c r="C56" i="14"/>
  <c r="C54" i="14"/>
  <c r="C47" i="14"/>
  <c r="C46" i="14"/>
  <c r="C45" i="14"/>
  <c r="C41" i="14"/>
  <c r="C33" i="14"/>
  <c r="G33" i="14" s="1"/>
  <c r="I33" i="14" s="1"/>
  <c r="C32" i="14"/>
  <c r="G32" i="14" s="1"/>
  <c r="I32" i="14" s="1"/>
  <c r="C29" i="14"/>
  <c r="G29" i="14" s="1"/>
  <c r="I29" i="14" s="1"/>
  <c r="C26" i="14"/>
  <c r="C25" i="14"/>
  <c r="C24" i="14"/>
  <c r="C21" i="14"/>
  <c r="C20" i="14"/>
  <c r="C19" i="14"/>
  <c r="C18" i="14"/>
  <c r="C17" i="14"/>
  <c r="C86" i="14"/>
  <c r="C84" i="14"/>
  <c r="C83" i="14"/>
  <c r="C79" i="14"/>
  <c r="C78" i="14"/>
  <c r="C77" i="14"/>
  <c r="C76" i="14"/>
  <c r="C38" i="14"/>
  <c r="C37" i="14"/>
  <c r="C36" i="14"/>
  <c r="C42" i="14"/>
  <c r="G42" i="14"/>
  <c r="C65" i="14"/>
  <c r="C62" i="14"/>
  <c r="C58" i="14"/>
  <c r="C55" i="14"/>
  <c r="C9" i="14"/>
  <c r="C8" i="14"/>
  <c r="H44" i="8"/>
  <c r="H31" i="8"/>
  <c r="H17" i="8"/>
  <c r="H15" i="8"/>
  <c r="H9" i="8"/>
  <c r="H10" i="11"/>
  <c r="H9" i="11"/>
  <c r="P46" i="15"/>
  <c r="P45" i="15"/>
  <c r="P39" i="15"/>
  <c r="P35" i="15"/>
  <c r="P33" i="15"/>
  <c r="P29" i="15"/>
  <c r="P28" i="15"/>
  <c r="P24" i="15"/>
  <c r="F25" i="15"/>
  <c r="F20" i="15"/>
  <c r="P13" i="15"/>
  <c r="P11" i="15"/>
  <c r="P8" i="15"/>
  <c r="R51" i="8"/>
  <c r="S51" i="8" s="1"/>
  <c r="R50" i="8"/>
  <c r="S50" i="8" s="1"/>
  <c r="R49" i="8"/>
  <c r="S49" i="8" s="1"/>
  <c r="R45" i="8"/>
  <c r="S45" i="8" s="1"/>
  <c r="R44" i="8"/>
  <c r="R40" i="8"/>
  <c r="S40" i="8" s="1"/>
  <c r="V40" i="8" s="1"/>
  <c r="R39" i="8"/>
  <c r="S39" i="8" s="1"/>
  <c r="V39" i="8" s="1"/>
  <c r="R33" i="8"/>
  <c r="S33" i="8" s="1"/>
  <c r="R32" i="8"/>
  <c r="S32" i="8" s="1"/>
  <c r="V32" i="8" s="1"/>
  <c r="R27" i="8"/>
  <c r="S27" i="8" s="1"/>
  <c r="V27" i="8" s="1"/>
  <c r="R22" i="8"/>
  <c r="S22" i="8" s="1"/>
  <c r="H23" i="8"/>
  <c r="L21" i="2"/>
  <c r="K21" i="2"/>
  <c r="L20" i="2"/>
  <c r="K20" i="2"/>
  <c r="L15" i="2"/>
  <c r="K15" i="2"/>
  <c r="L14" i="2"/>
  <c r="K14" i="2"/>
  <c r="L13" i="2"/>
  <c r="K13" i="2"/>
  <c r="L10" i="2"/>
  <c r="K10" i="2"/>
  <c r="L9" i="2"/>
  <c r="K9" i="2"/>
  <c r="L8" i="2"/>
  <c r="K8" i="2"/>
  <c r="P40" i="15"/>
  <c r="O76" i="12"/>
  <c r="O78" i="12"/>
  <c r="O18" i="12"/>
  <c r="Q18" i="12" s="1"/>
  <c r="O19" i="12"/>
  <c r="Q19" i="12" s="1"/>
  <c r="O20" i="12"/>
  <c r="O21" i="12"/>
  <c r="O24" i="12"/>
  <c r="Q24" i="12" s="1"/>
  <c r="O25" i="12"/>
  <c r="Q25" i="12" s="1"/>
  <c r="O26" i="12"/>
  <c r="Q26" i="12" s="1"/>
  <c r="O29" i="12"/>
  <c r="Q29" i="12" s="1"/>
  <c r="O32" i="12"/>
  <c r="Q32" i="12" s="1"/>
  <c r="O33" i="12"/>
  <c r="Q33" i="12" s="1"/>
  <c r="O36" i="12"/>
  <c r="O37" i="12"/>
  <c r="O38" i="12"/>
  <c r="O41" i="12"/>
  <c r="O42" i="12"/>
  <c r="O45" i="12"/>
  <c r="O46" i="12"/>
  <c r="Q46" i="12" s="1"/>
  <c r="O47" i="12"/>
  <c r="E49" i="12"/>
  <c r="E102" i="12" s="1"/>
  <c r="G49" i="12"/>
  <c r="G110" i="12" s="1"/>
  <c r="H49" i="12"/>
  <c r="H102" i="12" s="1"/>
  <c r="I49" i="12"/>
  <c r="I110" i="12" s="1"/>
  <c r="J49" i="12"/>
  <c r="J110" i="12" s="1"/>
  <c r="K49" i="12"/>
  <c r="K110" i="12" s="1"/>
  <c r="L49" i="12"/>
  <c r="L110" i="12" s="1"/>
  <c r="M49" i="12"/>
  <c r="M102" i="12" s="1"/>
  <c r="N49" i="12"/>
  <c r="C49" i="12"/>
  <c r="C110" i="12" s="1"/>
  <c r="B42" i="12"/>
  <c r="G12" i="11"/>
  <c r="F12" i="11"/>
  <c r="R12" i="11" s="1"/>
  <c r="S12" i="11" s="1"/>
  <c r="G11" i="11"/>
  <c r="G10" i="11"/>
  <c r="F10" i="11"/>
  <c r="G9" i="11"/>
  <c r="G8" i="11"/>
  <c r="F8" i="11"/>
  <c r="G36" i="15"/>
  <c r="I36" i="15"/>
  <c r="J36" i="15"/>
  <c r="K36" i="15"/>
  <c r="L36" i="15"/>
  <c r="M36" i="15"/>
  <c r="N36" i="15"/>
  <c r="O36" i="15"/>
  <c r="E36" i="15"/>
  <c r="G41" i="15"/>
  <c r="I41" i="15"/>
  <c r="J41" i="15"/>
  <c r="K41" i="15"/>
  <c r="L41" i="15"/>
  <c r="M41" i="15"/>
  <c r="N41" i="15"/>
  <c r="O41" i="15"/>
  <c r="O49" i="15"/>
  <c r="D41" i="15"/>
  <c r="E41" i="15"/>
  <c r="B40" i="15"/>
  <c r="B46" i="15"/>
  <c r="B39" i="15"/>
  <c r="B34" i="15"/>
  <c r="B33" i="15"/>
  <c r="B29" i="15"/>
  <c r="B24" i="15"/>
  <c r="B23" i="15"/>
  <c r="B19" i="15"/>
  <c r="B14" i="15"/>
  <c r="B13" i="15"/>
  <c r="B11" i="15"/>
  <c r="B9" i="15"/>
  <c r="B8" i="15"/>
  <c r="I20" i="2"/>
  <c r="H21" i="2"/>
  <c r="H9" i="2"/>
  <c r="H10" i="2"/>
  <c r="H13" i="2"/>
  <c r="H14" i="2"/>
  <c r="I15" i="2"/>
  <c r="D24" i="7"/>
  <c r="E24" i="7"/>
  <c r="I24" i="7"/>
  <c r="J24" i="7"/>
  <c r="K24" i="7"/>
  <c r="L24" i="7"/>
  <c r="M24" i="7"/>
  <c r="N24" i="7"/>
  <c r="C24" i="7"/>
  <c r="N22" i="7"/>
  <c r="M22" i="7"/>
  <c r="L22" i="7"/>
  <c r="K22" i="7"/>
  <c r="J22" i="7"/>
  <c r="I22" i="7"/>
  <c r="H22" i="7"/>
  <c r="G22" i="7"/>
  <c r="F22" i="7"/>
  <c r="C22" i="7"/>
  <c r="D24" i="6"/>
  <c r="E24" i="6"/>
  <c r="I24" i="6"/>
  <c r="J24" i="6"/>
  <c r="K24" i="6"/>
  <c r="L24" i="6"/>
  <c r="M24" i="6"/>
  <c r="N24" i="6"/>
  <c r="C24" i="6"/>
  <c r="N22" i="6"/>
  <c r="M22" i="6"/>
  <c r="L22" i="6"/>
  <c r="K22" i="6"/>
  <c r="J22" i="6"/>
  <c r="I22" i="6"/>
  <c r="H22" i="6"/>
  <c r="G22" i="6"/>
  <c r="F22" i="6"/>
  <c r="C22" i="6"/>
  <c r="F9" i="6"/>
  <c r="F14" i="6"/>
  <c r="F18" i="6"/>
  <c r="G9" i="6"/>
  <c r="G14" i="6"/>
  <c r="G18" i="6"/>
  <c r="H9" i="6"/>
  <c r="H14" i="6"/>
  <c r="H18" i="6"/>
  <c r="I9" i="6"/>
  <c r="I14" i="6"/>
  <c r="I18" i="6"/>
  <c r="J9" i="6"/>
  <c r="J14" i="6"/>
  <c r="J18" i="6"/>
  <c r="K9" i="6"/>
  <c r="K14" i="6"/>
  <c r="K18" i="6"/>
  <c r="L9" i="6"/>
  <c r="L14" i="6"/>
  <c r="L18" i="6"/>
  <c r="M9" i="6"/>
  <c r="M14" i="6"/>
  <c r="M18" i="6"/>
  <c r="N9" i="6"/>
  <c r="N14" i="6"/>
  <c r="N18" i="6"/>
  <c r="C9" i="6"/>
  <c r="C14" i="6"/>
  <c r="C18" i="6"/>
  <c r="F9" i="7"/>
  <c r="F14" i="7"/>
  <c r="F18" i="7"/>
  <c r="G9" i="7"/>
  <c r="G14" i="7"/>
  <c r="G18" i="7"/>
  <c r="H9" i="7"/>
  <c r="H14" i="7"/>
  <c r="H18" i="7"/>
  <c r="I9" i="7"/>
  <c r="I14" i="7"/>
  <c r="I18" i="7"/>
  <c r="J9" i="7"/>
  <c r="J14" i="7"/>
  <c r="J18" i="7"/>
  <c r="K9" i="7"/>
  <c r="K14" i="7"/>
  <c r="K18" i="7"/>
  <c r="L9" i="7"/>
  <c r="L14" i="7"/>
  <c r="L18" i="7"/>
  <c r="M9" i="7"/>
  <c r="M14" i="7"/>
  <c r="M18" i="7"/>
  <c r="N9" i="7"/>
  <c r="N14" i="7"/>
  <c r="N18" i="7"/>
  <c r="C9" i="7"/>
  <c r="C14" i="7"/>
  <c r="C18" i="7"/>
  <c r="P34" i="15"/>
  <c r="D36" i="15"/>
  <c r="P12" i="15"/>
  <c r="P14" i="15"/>
  <c r="P15" i="15"/>
  <c r="P23" i="15"/>
  <c r="F9" i="11"/>
  <c r="C22" i="16"/>
  <c r="D54" i="15"/>
  <c r="G20" i="15"/>
  <c r="G25" i="15"/>
  <c r="G30" i="15"/>
  <c r="I20" i="15"/>
  <c r="I25" i="15"/>
  <c r="I30" i="15"/>
  <c r="O20" i="15"/>
  <c r="O25" i="15"/>
  <c r="O30" i="15"/>
  <c r="J20" i="15"/>
  <c r="J49" i="15"/>
  <c r="J25" i="15"/>
  <c r="J30" i="15"/>
  <c r="L20" i="15"/>
  <c r="L25" i="15"/>
  <c r="L30" i="15"/>
  <c r="N20" i="15"/>
  <c r="N49" i="15"/>
  <c r="N25" i="15"/>
  <c r="N30" i="15"/>
  <c r="Q25" i="15"/>
  <c r="Q49" i="15"/>
  <c r="S49" i="15"/>
  <c r="M20" i="15"/>
  <c r="M49" i="15"/>
  <c r="M25" i="15"/>
  <c r="M30" i="15"/>
  <c r="K20" i="15"/>
  <c r="K49" i="15"/>
  <c r="K25" i="15"/>
  <c r="K30" i="15"/>
  <c r="E20" i="15"/>
  <c r="E25" i="15"/>
  <c r="E30" i="15"/>
  <c r="D16" i="15"/>
  <c r="D49" i="15"/>
  <c r="D20" i="15"/>
  <c r="D25" i="15"/>
  <c r="D30" i="15"/>
  <c r="S47" i="15"/>
  <c r="B45" i="15"/>
  <c r="S41" i="15"/>
  <c r="S39" i="15"/>
  <c r="S36" i="15"/>
  <c r="S30" i="15"/>
  <c r="S28" i="15"/>
  <c r="B28" i="15"/>
  <c r="S25" i="15"/>
  <c r="S24" i="15"/>
  <c r="S23" i="15"/>
  <c r="S20" i="15"/>
  <c r="S16" i="15"/>
  <c r="B15" i="15"/>
  <c r="B12" i="15"/>
  <c r="B10" i="15"/>
  <c r="R26" i="8"/>
  <c r="S26" i="8" s="1"/>
  <c r="D59" i="8"/>
  <c r="K45" i="13"/>
  <c r="K46" i="13" s="1"/>
  <c r="K47" i="13" s="1"/>
  <c r="K48" i="13" s="1"/>
  <c r="K49" i="13" s="1"/>
  <c r="K50" i="13" s="1"/>
  <c r="K51" i="13" s="1"/>
  <c r="K52" i="13" s="1"/>
  <c r="K53" i="13" s="1"/>
  <c r="K54" i="13" s="1"/>
  <c r="K55" i="13" s="1"/>
  <c r="K56" i="13" s="1"/>
  <c r="K57" i="13" s="1"/>
  <c r="K58" i="13" s="1"/>
  <c r="K59" i="13" s="1"/>
  <c r="K60" i="13" s="1"/>
  <c r="K61" i="13" s="1"/>
  <c r="K62" i="13" s="1"/>
  <c r="K63" i="13" s="1"/>
  <c r="K25" i="13"/>
  <c r="K26" i="13" s="1"/>
  <c r="K27" i="13" s="1"/>
  <c r="K28" i="13" s="1"/>
  <c r="K29" i="13" s="1"/>
  <c r="K30" i="13" s="1"/>
  <c r="K31" i="13" s="1"/>
  <c r="K32" i="13" s="1"/>
  <c r="K33" i="13" s="1"/>
  <c r="K34" i="13" s="1"/>
  <c r="K35" i="13" s="1"/>
  <c r="K36" i="13" s="1"/>
  <c r="K37" i="13" s="1"/>
  <c r="K38" i="13" s="1"/>
  <c r="K39" i="13" s="1"/>
  <c r="K40" i="13" s="1"/>
  <c r="K41" i="13" s="1"/>
  <c r="K42" i="13" s="1"/>
  <c r="K43" i="13" s="1"/>
  <c r="K6" i="13"/>
  <c r="K7" i="13" s="1"/>
  <c r="K8" i="13" s="1"/>
  <c r="K9" i="13" s="1"/>
  <c r="K10" i="13" s="1"/>
  <c r="K11" i="13" s="1"/>
  <c r="K12" i="13" s="1"/>
  <c r="K13" i="13" s="1"/>
  <c r="K14" i="13" s="1"/>
  <c r="K15" i="13" s="1"/>
  <c r="K16" i="13" s="1"/>
  <c r="K17" i="13" s="1"/>
  <c r="K18" i="13" s="1"/>
  <c r="K19" i="13" s="1"/>
  <c r="K20" i="13" s="1"/>
  <c r="K21" i="13" s="1"/>
  <c r="K22" i="13" s="1"/>
  <c r="K23" i="13" s="1"/>
  <c r="P49" i="12"/>
  <c r="P102" i="12" s="1"/>
  <c r="P111" i="12" s="1"/>
  <c r="I13" i="2"/>
  <c r="S44" i="2"/>
  <c r="Q37" i="2"/>
  <c r="Q43" i="2"/>
  <c r="Q44" i="2"/>
  <c r="P44" i="2"/>
  <c r="N37" i="2"/>
  <c r="N43" i="2"/>
  <c r="N44" i="2"/>
  <c r="M44" i="2"/>
  <c r="L37" i="2"/>
  <c r="L43" i="2"/>
  <c r="L44" i="2"/>
  <c r="J44" i="2"/>
  <c r="G44" i="2"/>
  <c r="D44" i="2"/>
  <c r="B20" i="2"/>
  <c r="E20" i="2"/>
  <c r="B8" i="10"/>
  <c r="B9" i="10"/>
  <c r="B10" i="10"/>
  <c r="B11" i="10"/>
  <c r="B12" i="10"/>
  <c r="B13" i="10"/>
  <c r="B14" i="10"/>
  <c r="B15" i="10"/>
  <c r="B17" i="10"/>
  <c r="B18" i="10"/>
  <c r="B19" i="10"/>
  <c r="B20" i="10"/>
  <c r="B21" i="10"/>
  <c r="B22" i="10"/>
  <c r="B21" i="2"/>
  <c r="E21" i="2"/>
  <c r="B19" i="2"/>
  <c r="B32" i="10"/>
  <c r="B33" i="10"/>
  <c r="B34" i="10"/>
  <c r="B35" i="10"/>
  <c r="B36" i="10"/>
  <c r="E15" i="2"/>
  <c r="B37" i="10"/>
  <c r="B38" i="10"/>
  <c r="B39" i="10"/>
  <c r="B41" i="10"/>
  <c r="B42" i="10"/>
  <c r="B43" i="10"/>
  <c r="B44" i="10"/>
  <c r="B45" i="10"/>
  <c r="B46" i="10"/>
  <c r="B15" i="2"/>
  <c r="B9" i="2"/>
  <c r="E9" i="2"/>
  <c r="B10" i="2"/>
  <c r="F10" i="2"/>
  <c r="B11" i="2"/>
  <c r="B12" i="2"/>
  <c r="B13" i="2"/>
  <c r="B14" i="2"/>
  <c r="F14" i="2"/>
  <c r="B8" i="2"/>
  <c r="E13" i="2"/>
  <c r="E8" i="2"/>
  <c r="T46" i="8"/>
  <c r="T31" i="8"/>
  <c r="T34" i="8" s="1"/>
  <c r="T41" i="8"/>
  <c r="F109" i="12"/>
  <c r="G109" i="12"/>
  <c r="G105" i="12"/>
  <c r="G106" i="12"/>
  <c r="G107" i="12"/>
  <c r="G108" i="12"/>
  <c r="H109" i="12"/>
  <c r="I109" i="12"/>
  <c r="J109" i="12"/>
  <c r="K109" i="12"/>
  <c r="L109" i="12"/>
  <c r="M109" i="12"/>
  <c r="N109" i="12"/>
  <c r="F108" i="12"/>
  <c r="H108" i="12"/>
  <c r="I108" i="12"/>
  <c r="J108" i="12"/>
  <c r="K108" i="12"/>
  <c r="L108" i="12"/>
  <c r="M108" i="12"/>
  <c r="N108" i="12"/>
  <c r="N105" i="12"/>
  <c r="N106" i="12"/>
  <c r="N107" i="12"/>
  <c r="N110" i="12"/>
  <c r="N111" i="12" s="1"/>
  <c r="F107" i="12"/>
  <c r="H107" i="12"/>
  <c r="I107" i="12"/>
  <c r="J107" i="12"/>
  <c r="K107" i="12"/>
  <c r="K105" i="12"/>
  <c r="K106" i="12"/>
  <c r="L107" i="12"/>
  <c r="M107" i="12"/>
  <c r="F106" i="12"/>
  <c r="H106" i="12"/>
  <c r="H105" i="12"/>
  <c r="I106" i="12"/>
  <c r="J106" i="12"/>
  <c r="L106" i="12"/>
  <c r="M106" i="12"/>
  <c r="F105" i="12"/>
  <c r="I105" i="12"/>
  <c r="J105" i="12"/>
  <c r="L105" i="12"/>
  <c r="M105" i="12"/>
  <c r="B60" i="12"/>
  <c r="C109" i="12"/>
  <c r="B67" i="12"/>
  <c r="C107" i="12"/>
  <c r="B74" i="12"/>
  <c r="B81" i="12"/>
  <c r="B88" i="12"/>
  <c r="D102" i="14"/>
  <c r="E49" i="14"/>
  <c r="E110" i="14" s="1"/>
  <c r="E111" i="14" s="1"/>
  <c r="F49" i="14"/>
  <c r="F102" i="14" s="1"/>
  <c r="H49" i="14"/>
  <c r="H102" i="14" s="1"/>
  <c r="G36" i="14"/>
  <c r="G37" i="14"/>
  <c r="G38" i="14"/>
  <c r="B38" i="14"/>
  <c r="B37" i="14"/>
  <c r="B36" i="14"/>
  <c r="F110" i="12"/>
  <c r="B38" i="12"/>
  <c r="B37" i="12"/>
  <c r="B36" i="12"/>
  <c r="B11" i="11"/>
  <c r="B40" i="8"/>
  <c r="B39" i="8"/>
  <c r="B38" i="8"/>
  <c r="B37" i="8"/>
  <c r="B32" i="8"/>
  <c r="F109" i="14"/>
  <c r="F108" i="14"/>
  <c r="F107" i="14"/>
  <c r="F106" i="14"/>
  <c r="F105" i="14"/>
  <c r="G100" i="14"/>
  <c r="G99" i="14"/>
  <c r="G98" i="14"/>
  <c r="G97" i="14"/>
  <c r="G96" i="14"/>
  <c r="G93" i="14"/>
  <c r="G92" i="14"/>
  <c r="G91" i="14"/>
  <c r="G90" i="14"/>
  <c r="G89" i="14"/>
  <c r="B88" i="14"/>
  <c r="G86" i="14"/>
  <c r="G85" i="14"/>
  <c r="G84" i="14"/>
  <c r="G83" i="14"/>
  <c r="G82" i="14"/>
  <c r="B81" i="14"/>
  <c r="G79" i="14"/>
  <c r="G78" i="14"/>
  <c r="G77" i="14"/>
  <c r="G76" i="14"/>
  <c r="G75" i="14"/>
  <c r="B74" i="14"/>
  <c r="G69" i="14"/>
  <c r="B67" i="14"/>
  <c r="G65" i="14"/>
  <c r="G64" i="14"/>
  <c r="G63" i="14"/>
  <c r="G62" i="14"/>
  <c r="G61" i="14"/>
  <c r="B60" i="14"/>
  <c r="G58" i="14"/>
  <c r="G57" i="14"/>
  <c r="G56" i="14"/>
  <c r="G55" i="14"/>
  <c r="G54" i="14"/>
  <c r="B53" i="14"/>
  <c r="G47" i="14"/>
  <c r="I47" i="14" s="1"/>
  <c r="B47" i="14"/>
  <c r="G46" i="14"/>
  <c r="I46" i="14" s="1"/>
  <c r="B46" i="14"/>
  <c r="G45" i="14"/>
  <c r="I45" i="14" s="1"/>
  <c r="B45" i="14"/>
  <c r="G41" i="14"/>
  <c r="I41" i="14" s="1"/>
  <c r="B41" i="14"/>
  <c r="B33" i="14"/>
  <c r="B32" i="14"/>
  <c r="B29" i="14"/>
  <c r="G26" i="14"/>
  <c r="I26" i="14" s="1"/>
  <c r="B26" i="14"/>
  <c r="G25" i="14"/>
  <c r="I25" i="14" s="1"/>
  <c r="B25" i="14"/>
  <c r="G24" i="14"/>
  <c r="I24" i="14" s="1"/>
  <c r="B24" i="14"/>
  <c r="G21" i="14"/>
  <c r="I21" i="14" s="1"/>
  <c r="B21" i="14"/>
  <c r="G20" i="14"/>
  <c r="I20" i="14" s="1"/>
  <c r="B20" i="14"/>
  <c r="G19" i="14"/>
  <c r="I19" i="14" s="1"/>
  <c r="B19" i="14"/>
  <c r="G18" i="14"/>
  <c r="I18" i="14" s="1"/>
  <c r="B18" i="14"/>
  <c r="G17" i="14"/>
  <c r="I17" i="14" s="1"/>
  <c r="B17" i="14"/>
  <c r="H10" i="14"/>
  <c r="F10" i="14"/>
  <c r="D10" i="14"/>
  <c r="C10" i="14"/>
  <c r="G9" i="14"/>
  <c r="I9" i="14" s="1"/>
  <c r="G8" i="14"/>
  <c r="E109" i="14"/>
  <c r="E105" i="14"/>
  <c r="E10" i="14"/>
  <c r="E107" i="14"/>
  <c r="E106" i="14"/>
  <c r="E108" i="14"/>
  <c r="O100" i="12"/>
  <c r="O99" i="12"/>
  <c r="O98" i="12"/>
  <c r="O97" i="12"/>
  <c r="O96" i="12"/>
  <c r="O93" i="12"/>
  <c r="O92" i="12"/>
  <c r="O91" i="12"/>
  <c r="O90" i="12"/>
  <c r="O89" i="12"/>
  <c r="O86" i="12"/>
  <c r="O85" i="12"/>
  <c r="O84" i="12"/>
  <c r="O83" i="12"/>
  <c r="O82" i="12"/>
  <c r="O79" i="12"/>
  <c r="O77" i="12"/>
  <c r="O75" i="12"/>
  <c r="O72" i="12"/>
  <c r="O71" i="12"/>
  <c r="O70" i="12"/>
  <c r="O69" i="12"/>
  <c r="O68" i="12"/>
  <c r="O65" i="12"/>
  <c r="O64" i="12"/>
  <c r="O63" i="12"/>
  <c r="O62" i="12"/>
  <c r="O61" i="12"/>
  <c r="O58" i="12"/>
  <c r="O57" i="12"/>
  <c r="O56" i="12"/>
  <c r="O55" i="12"/>
  <c r="O54" i="12"/>
  <c r="B53" i="12"/>
  <c r="Q47" i="12"/>
  <c r="B47" i="12"/>
  <c r="B46" i="12"/>
  <c r="Q45" i="12"/>
  <c r="B45" i="12"/>
  <c r="Q41" i="12"/>
  <c r="B41" i="12"/>
  <c r="B33" i="12"/>
  <c r="B32" i="12"/>
  <c r="B29" i="12"/>
  <c r="B26" i="12"/>
  <c r="B25" i="12"/>
  <c r="B24" i="12"/>
  <c r="Q21" i="12"/>
  <c r="B21" i="12"/>
  <c r="Q20" i="12"/>
  <c r="B20" i="12"/>
  <c r="B19" i="12"/>
  <c r="B18" i="12"/>
  <c r="B17" i="12"/>
  <c r="N10" i="12"/>
  <c r="M10" i="12"/>
  <c r="L10" i="12"/>
  <c r="K10" i="12"/>
  <c r="J10" i="12"/>
  <c r="I10" i="12"/>
  <c r="H10" i="12"/>
  <c r="G10" i="12"/>
  <c r="F10" i="12"/>
  <c r="E10" i="12"/>
  <c r="D10" i="12"/>
  <c r="C10" i="12"/>
  <c r="O9" i="12"/>
  <c r="O8" i="12"/>
  <c r="R17" i="11"/>
  <c r="S17" i="11" s="1"/>
  <c r="E15" i="11"/>
  <c r="D15" i="11"/>
  <c r="R14" i="11"/>
  <c r="S14" i="11" s="1"/>
  <c r="B14" i="11"/>
  <c r="R13" i="11"/>
  <c r="S13" i="11" s="1"/>
  <c r="B13" i="11"/>
  <c r="B12" i="11"/>
  <c r="B10" i="11"/>
  <c r="B9" i="11"/>
  <c r="B8" i="11"/>
  <c r="U43" i="2"/>
  <c r="T43" i="2"/>
  <c r="S43" i="2"/>
  <c r="R43" i="2"/>
  <c r="P43" i="2"/>
  <c r="O43" i="2"/>
  <c r="M43" i="2"/>
  <c r="K43" i="2"/>
  <c r="J43" i="2"/>
  <c r="I43" i="2"/>
  <c r="I37" i="2"/>
  <c r="I44" i="2"/>
  <c r="H43" i="2"/>
  <c r="H37" i="2"/>
  <c r="H44" i="2"/>
  <c r="G43" i="2"/>
  <c r="F43" i="2"/>
  <c r="E43" i="2"/>
  <c r="D43" i="2"/>
  <c r="U37" i="2"/>
  <c r="T37" i="2"/>
  <c r="S37" i="2"/>
  <c r="R37" i="2"/>
  <c r="R44" i="2"/>
  <c r="P37" i="2"/>
  <c r="O37" i="2"/>
  <c r="O44" i="2"/>
  <c r="M37" i="2"/>
  <c r="K37" i="2"/>
  <c r="K44" i="2"/>
  <c r="J37" i="2"/>
  <c r="G37" i="2"/>
  <c r="F37" i="2"/>
  <c r="E37" i="2"/>
  <c r="E44" i="2"/>
  <c r="D37" i="2"/>
  <c r="D52" i="8"/>
  <c r="E52" i="8"/>
  <c r="F52" i="8"/>
  <c r="G52" i="8"/>
  <c r="I52" i="8"/>
  <c r="J52" i="8"/>
  <c r="K52" i="8"/>
  <c r="L52" i="8"/>
  <c r="M52" i="8"/>
  <c r="N52" i="8"/>
  <c r="O52" i="8"/>
  <c r="P52" i="8"/>
  <c r="Q52" i="8"/>
  <c r="D46" i="8"/>
  <c r="E46" i="8"/>
  <c r="F46" i="8"/>
  <c r="G46" i="8"/>
  <c r="H46" i="8"/>
  <c r="I46" i="8"/>
  <c r="J46" i="8"/>
  <c r="K46" i="8"/>
  <c r="L46" i="8"/>
  <c r="M46" i="8"/>
  <c r="N46" i="8"/>
  <c r="O46" i="8"/>
  <c r="P46" i="8"/>
  <c r="Q46" i="8"/>
  <c r="D41" i="8"/>
  <c r="E41" i="8"/>
  <c r="G41" i="8"/>
  <c r="I41" i="8"/>
  <c r="J41" i="8"/>
  <c r="K41" i="8"/>
  <c r="L41" i="8"/>
  <c r="M41" i="8"/>
  <c r="N41" i="8"/>
  <c r="O41" i="8"/>
  <c r="P41" i="8"/>
  <c r="Q41" i="8"/>
  <c r="D34" i="8"/>
  <c r="E34" i="8"/>
  <c r="F34" i="8"/>
  <c r="G34" i="8"/>
  <c r="I34" i="8"/>
  <c r="J34" i="8"/>
  <c r="K34" i="8"/>
  <c r="L34" i="8"/>
  <c r="M34" i="8"/>
  <c r="N34" i="8"/>
  <c r="O34" i="8"/>
  <c r="P34" i="8"/>
  <c r="Q34" i="8"/>
  <c r="D28" i="8"/>
  <c r="E28" i="8"/>
  <c r="F28" i="8"/>
  <c r="G28" i="8"/>
  <c r="I28" i="8"/>
  <c r="J28" i="8"/>
  <c r="K28" i="8"/>
  <c r="L28" i="8"/>
  <c r="M28" i="8"/>
  <c r="N28" i="8"/>
  <c r="O28" i="8"/>
  <c r="P28" i="8"/>
  <c r="Q28" i="8"/>
  <c r="T28" i="8"/>
  <c r="D23" i="8"/>
  <c r="E23" i="8"/>
  <c r="E54" i="8" s="1"/>
  <c r="F23" i="8"/>
  <c r="G23" i="8"/>
  <c r="I23" i="8"/>
  <c r="J23" i="8"/>
  <c r="K23" i="8"/>
  <c r="L23" i="8"/>
  <c r="M23" i="8"/>
  <c r="N23" i="8"/>
  <c r="O23" i="8"/>
  <c r="P23" i="8"/>
  <c r="Q23" i="8"/>
  <c r="D18" i="8"/>
  <c r="E18" i="8"/>
  <c r="F18" i="8"/>
  <c r="B51" i="8"/>
  <c r="B50" i="8"/>
  <c r="B49" i="8"/>
  <c r="B44" i="8"/>
  <c r="B33" i="8"/>
  <c r="B31" i="8"/>
  <c r="B27" i="8"/>
  <c r="B26" i="8"/>
  <c r="B22" i="8"/>
  <c r="B21" i="8"/>
  <c r="B17" i="8"/>
  <c r="B16" i="8"/>
  <c r="B15" i="8"/>
  <c r="B14" i="8"/>
  <c r="B13" i="8"/>
  <c r="B12" i="8"/>
  <c r="B11" i="8"/>
  <c r="B10" i="8"/>
  <c r="B9" i="8"/>
  <c r="B8" i="8"/>
  <c r="B17" i="7"/>
  <c r="B13" i="7"/>
  <c r="B12" i="7"/>
  <c r="B8" i="7"/>
  <c r="B17" i="6"/>
  <c r="B13" i="6"/>
  <c r="B12" i="6"/>
  <c r="B8" i="6"/>
  <c r="B42" i="2"/>
  <c r="B41" i="2"/>
  <c r="B40" i="2"/>
  <c r="B39" i="2"/>
  <c r="B36" i="2"/>
  <c r="B35" i="2"/>
  <c r="B34" i="2"/>
  <c r="B33" i="2"/>
  <c r="B32" i="2"/>
  <c r="B31" i="2"/>
  <c r="B30" i="2"/>
  <c r="B29" i="2"/>
  <c r="B18" i="2"/>
  <c r="N102" i="12"/>
  <c r="N114" i="12" s="1"/>
  <c r="F102" i="12"/>
  <c r="F117" i="12" s="1"/>
  <c r="F21" i="2"/>
  <c r="F13" i="2"/>
  <c r="F9" i="2"/>
  <c r="C108" i="12"/>
  <c r="F20" i="2"/>
  <c r="E10" i="2"/>
  <c r="E14" i="2"/>
  <c r="F15" i="2"/>
  <c r="F8" i="2"/>
  <c r="I10" i="2"/>
  <c r="E16" i="15"/>
  <c r="E49" i="15"/>
  <c r="I14" i="2"/>
  <c r="H20" i="2"/>
  <c r="H15" i="2"/>
  <c r="I8" i="2"/>
  <c r="H8" i="2"/>
  <c r="I9" i="2"/>
  <c r="I21" i="2"/>
  <c r="G18" i="8"/>
  <c r="G54" i="8" s="1"/>
  <c r="N18" i="8"/>
  <c r="N54" i="8" s="1"/>
  <c r="M18" i="8"/>
  <c r="L18" i="8"/>
  <c r="Q18" i="8"/>
  <c r="I18" i="8"/>
  <c r="I54" i="8" s="1"/>
  <c r="O18" i="8"/>
  <c r="P18" i="8"/>
  <c r="P54" i="8" s="1"/>
  <c r="R8" i="11"/>
  <c r="S8" i="11" s="1"/>
  <c r="J15" i="11"/>
  <c r="K15" i="11"/>
  <c r="L15" i="11"/>
  <c r="M15" i="11"/>
  <c r="N15" i="11"/>
  <c r="O15" i="11"/>
  <c r="P15" i="11"/>
  <c r="Q15" i="11"/>
  <c r="P10" i="15"/>
  <c r="K16" i="15"/>
  <c r="M16" i="15"/>
  <c r="N16" i="15"/>
  <c r="L16" i="15"/>
  <c r="L49" i="15"/>
  <c r="J16" i="15"/>
  <c r="O16" i="15"/>
  <c r="I16" i="15"/>
  <c r="G16" i="15"/>
  <c r="G49" i="15"/>
  <c r="F24" i="6"/>
  <c r="F24" i="7"/>
  <c r="T44" i="2"/>
  <c r="U44" i="2"/>
  <c r="F44" i="2"/>
  <c r="M110" i="12"/>
  <c r="M111" i="12" s="1"/>
  <c r="E108" i="12"/>
  <c r="D107" i="12"/>
  <c r="D105" i="12"/>
  <c r="C105" i="12"/>
  <c r="D106" i="12"/>
  <c r="D109" i="12"/>
  <c r="E105" i="12"/>
  <c r="C106" i="12"/>
  <c r="E107" i="12"/>
  <c r="C107" i="14" s="1"/>
  <c r="D108" i="12"/>
  <c r="E106" i="12"/>
  <c r="E109" i="12"/>
  <c r="E110" i="12"/>
  <c r="C102" i="12"/>
  <c r="C117" i="12" s="1"/>
  <c r="H52" i="8"/>
  <c r="P19" i="15"/>
  <c r="P20" i="15" s="1"/>
  <c r="F41" i="15"/>
  <c r="H28" i="8"/>
  <c r="F36" i="15"/>
  <c r="H34" i="8"/>
  <c r="H41" i="8"/>
  <c r="F30" i="15"/>
  <c r="F16" i="15"/>
  <c r="P9" i="15"/>
  <c r="S44" i="8"/>
  <c r="R46" i="8"/>
  <c r="R37" i="8"/>
  <c r="S37" i="8" s="1"/>
  <c r="V37" i="8" s="1"/>
  <c r="R31" i="8"/>
  <c r="S31" i="8" s="1"/>
  <c r="R21" i="8"/>
  <c r="S21" i="8" s="1"/>
  <c r="F49" i="15"/>
  <c r="D49" i="12"/>
  <c r="D110" i="12" s="1"/>
  <c r="O17" i="12"/>
  <c r="Q17" i="12" s="1"/>
  <c r="R38" i="8"/>
  <c r="F41" i="8"/>
  <c r="F54" i="8" s="1"/>
  <c r="F11" i="11"/>
  <c r="F15" i="11" s="1"/>
  <c r="D107" i="14" l="1"/>
  <c r="G107" i="14"/>
  <c r="C106" i="14"/>
  <c r="C108" i="14"/>
  <c r="C109" i="14"/>
  <c r="C105" i="14"/>
  <c r="E111" i="12"/>
  <c r="K111" i="12"/>
  <c r="D111" i="12"/>
  <c r="J111" i="12"/>
  <c r="I111" i="12"/>
  <c r="O102" i="12"/>
  <c r="D105" i="14"/>
  <c r="F111" i="12"/>
  <c r="D108" i="14"/>
  <c r="D109" i="14"/>
  <c r="D106" i="14"/>
  <c r="G106" i="14" s="1"/>
  <c r="L111" i="12"/>
  <c r="H118" i="14"/>
  <c r="H111" i="14"/>
  <c r="E102" i="14"/>
  <c r="F110" i="14"/>
  <c r="F111" i="14" s="1"/>
  <c r="J102" i="12"/>
  <c r="J115" i="12" s="1"/>
  <c r="N115" i="12"/>
  <c r="C49" i="14"/>
  <c r="C102" i="14" s="1"/>
  <c r="C116" i="12"/>
  <c r="N116" i="12"/>
  <c r="C114" i="12"/>
  <c r="C115" i="12"/>
  <c r="C118" i="12" s="1"/>
  <c r="I102" i="12"/>
  <c r="I117" i="12" s="1"/>
  <c r="F115" i="14"/>
  <c r="F117" i="14"/>
  <c r="F116" i="14"/>
  <c r="F114" i="14"/>
  <c r="F114" i="12"/>
  <c r="E116" i="12"/>
  <c r="E115" i="12"/>
  <c r="E117" i="12"/>
  <c r="E114" i="12"/>
  <c r="M116" i="12"/>
  <c r="M115" i="12"/>
  <c r="M114" i="12"/>
  <c r="M117" i="12"/>
  <c r="C111" i="12"/>
  <c r="C110" i="14"/>
  <c r="L102" i="12"/>
  <c r="K102" i="12"/>
  <c r="P118" i="12"/>
  <c r="D102" i="12"/>
  <c r="N117" i="12"/>
  <c r="G49" i="14"/>
  <c r="G102" i="14" s="1"/>
  <c r="F116" i="12"/>
  <c r="F115" i="12"/>
  <c r="O107" i="12"/>
  <c r="O106" i="12"/>
  <c r="O105" i="12"/>
  <c r="O109" i="12"/>
  <c r="O108" i="12"/>
  <c r="H110" i="12"/>
  <c r="H111" i="12" s="1"/>
  <c r="H115" i="12"/>
  <c r="H116" i="12"/>
  <c r="H117" i="12"/>
  <c r="H114" i="12"/>
  <c r="I49" i="15"/>
  <c r="S46" i="8"/>
  <c r="H24" i="6"/>
  <c r="H24" i="7"/>
  <c r="P47" i="15"/>
  <c r="P30" i="15"/>
  <c r="P25" i="15"/>
  <c r="G10" i="14"/>
  <c r="I10" i="14" s="1"/>
  <c r="I8" i="14"/>
  <c r="G111" i="12"/>
  <c r="G102" i="12"/>
  <c r="G116" i="12" s="1"/>
  <c r="O49" i="12"/>
  <c r="O10" i="12"/>
  <c r="Q10" i="12" s="1"/>
  <c r="P41" i="15"/>
  <c r="P36" i="15"/>
  <c r="P16" i="15"/>
  <c r="R23" i="8"/>
  <c r="S23" i="8"/>
  <c r="V23" i="8" s="1"/>
  <c r="S28" i="8"/>
  <c r="V28" i="8" s="1"/>
  <c r="L54" i="8"/>
  <c r="Q54" i="8"/>
  <c r="V26" i="8"/>
  <c r="M54" i="8"/>
  <c r="O54" i="8"/>
  <c r="D54" i="8"/>
  <c r="T54" i="8"/>
  <c r="R10" i="11"/>
  <c r="S10" i="11" s="1"/>
  <c r="R28" i="8"/>
  <c r="V46" i="8"/>
  <c r="R9" i="11"/>
  <c r="S9" i="11" s="1"/>
  <c r="R11" i="11"/>
  <c r="S11" i="11" s="1"/>
  <c r="R34" i="8"/>
  <c r="R52" i="8"/>
  <c r="S34" i="8"/>
  <c r="V34" i="8" s="1"/>
  <c r="V31" i="8"/>
  <c r="S52" i="8"/>
  <c r="V52" i="8" s="1"/>
  <c r="H18" i="8"/>
  <c r="H54" i="8" s="1"/>
  <c r="G15" i="11"/>
  <c r="R17" i="8"/>
  <c r="S17" i="8" s="1"/>
  <c r="I15" i="11"/>
  <c r="R41" i="8"/>
  <c r="G24" i="6"/>
  <c r="G24" i="7"/>
  <c r="H15" i="11"/>
  <c r="S38" i="8"/>
  <c r="J114" i="12" l="1"/>
  <c r="G105" i="14"/>
  <c r="G109" i="14"/>
  <c r="G108" i="14"/>
  <c r="E114" i="14"/>
  <c r="E116" i="14"/>
  <c r="E117" i="14"/>
  <c r="E115" i="14"/>
  <c r="J117" i="12"/>
  <c r="N118" i="12"/>
  <c r="J116" i="12"/>
  <c r="I115" i="12"/>
  <c r="I114" i="12"/>
  <c r="I116" i="12"/>
  <c r="F118" i="14"/>
  <c r="M118" i="12"/>
  <c r="K114" i="12"/>
  <c r="K116" i="12"/>
  <c r="K117" i="12"/>
  <c r="K115" i="12"/>
  <c r="E118" i="12"/>
  <c r="D116" i="12"/>
  <c r="C116" i="14" s="1"/>
  <c r="D115" i="12"/>
  <c r="C115" i="14" s="1"/>
  <c r="D117" i="12"/>
  <c r="C117" i="14" s="1"/>
  <c r="D114" i="12"/>
  <c r="L116" i="12"/>
  <c r="L117" i="12"/>
  <c r="L115" i="12"/>
  <c r="L114" i="12"/>
  <c r="C111" i="14"/>
  <c r="D116" i="14"/>
  <c r="D110" i="14"/>
  <c r="D111" i="14" s="1"/>
  <c r="F118" i="12"/>
  <c r="H118" i="12"/>
  <c r="O110" i="12"/>
  <c r="O111" i="12" s="1"/>
  <c r="P49" i="15"/>
  <c r="G115" i="12"/>
  <c r="D115" i="14" s="1"/>
  <c r="G114" i="12"/>
  <c r="G117" i="12"/>
  <c r="S15" i="11"/>
  <c r="K18" i="8"/>
  <c r="K54" i="8" s="1"/>
  <c r="R13" i="8"/>
  <c r="S13" i="8" s="1"/>
  <c r="R15" i="8"/>
  <c r="S15" i="8" s="1"/>
  <c r="R16" i="8"/>
  <c r="S16" i="8" s="1"/>
  <c r="R14" i="8"/>
  <c r="S14" i="8" s="1"/>
  <c r="R12" i="8"/>
  <c r="S12" i="8" s="1"/>
  <c r="R9" i="8"/>
  <c r="S9" i="8" s="1"/>
  <c r="R10" i="8"/>
  <c r="S10" i="8" s="1"/>
  <c r="R11" i="8"/>
  <c r="S11" i="8" s="1"/>
  <c r="R15" i="11"/>
  <c r="J18" i="8"/>
  <c r="J54" i="8" s="1"/>
  <c r="R8" i="8"/>
  <c r="S41" i="8"/>
  <c r="V38" i="8"/>
  <c r="I118" i="12" l="1"/>
  <c r="J118" i="12"/>
  <c r="E118" i="14"/>
  <c r="G115" i="14"/>
  <c r="G116" i="14"/>
  <c r="D118" i="12"/>
  <c r="C114" i="14"/>
  <c r="O117" i="12"/>
  <c r="D117" i="14"/>
  <c r="G117" i="14" s="1"/>
  <c r="O114" i="12"/>
  <c r="D114" i="14"/>
  <c r="O115" i="12"/>
  <c r="O116" i="12"/>
  <c r="K118" i="12"/>
  <c r="G110" i="14"/>
  <c r="G111" i="14" s="1"/>
  <c r="L118" i="12"/>
  <c r="G118" i="12"/>
  <c r="S8" i="8"/>
  <c r="S18" i="8" s="1"/>
  <c r="V18" i="8" s="1"/>
  <c r="R18" i="8"/>
  <c r="R54" i="8" s="1"/>
  <c r="V41" i="8"/>
  <c r="D118" i="14" l="1"/>
  <c r="O118" i="12"/>
  <c r="C118" i="14"/>
  <c r="G114" i="14"/>
  <c r="G118" i="14" s="1"/>
  <c r="S54" i="8"/>
  <c r="V54" i="8" s="1"/>
</calcChain>
</file>

<file path=xl/sharedStrings.xml><?xml version="1.0" encoding="utf-8"?>
<sst xmlns="http://schemas.openxmlformats.org/spreadsheetml/2006/main" count="903" uniqueCount="274">
  <si>
    <t>Program Names</t>
  </si>
  <si>
    <t>Program EX Ante &amp; Ex Post MWs</t>
  </si>
  <si>
    <t>Load Impacts (ExPost &amp; ExAnte)</t>
  </si>
  <si>
    <t>2021 DRP Expenditures</t>
  </si>
  <si>
    <t>Agricultural &amp; Pumping Interruptible (API)</t>
  </si>
  <si>
    <t>Agricultural &amp; Pumping Interruptible (API) Incentives</t>
  </si>
  <si>
    <t>Base Interruptible Program (BIP) 15 Minute Option</t>
  </si>
  <si>
    <t>Base Interruptible Program (BIP) 30 Minute Option</t>
  </si>
  <si>
    <t>Base Interruptible Program (BIP)</t>
  </si>
  <si>
    <t>Base Interruptible Program (BIP) Incentives</t>
  </si>
  <si>
    <t>Capacity Bidding Program (CBP) Day Ahead</t>
  </si>
  <si>
    <t>Capacity Bidding Program (CBP) Day Of</t>
  </si>
  <si>
    <t>Capacity Bidding Program (CBP)</t>
  </si>
  <si>
    <t>Capacity Bidding Program (CBP) Incentives</t>
  </si>
  <si>
    <t>CBP Residential Pilot</t>
  </si>
  <si>
    <t>Charge Ready Pilot</t>
  </si>
  <si>
    <t>Charge Ready Incentives</t>
  </si>
  <si>
    <t>Constrained Local Capacity Planning Areas &amp; Disadvantaged Communities Pilot</t>
  </si>
  <si>
    <t>Constrained Local Capacity Planning Areas &amp; Disadvantaged Communities Pilot Incentives</t>
  </si>
  <si>
    <t>Critical Peak Pricing (CPP)</t>
  </si>
  <si>
    <t>Critical Peak Pricing - Small 0 to 20 kW</t>
  </si>
  <si>
    <t>Critical Peak Pricing - Med 20 to 199.99 kW</t>
  </si>
  <si>
    <t>Critical Peak Pricing - Large 20 kW and Above</t>
  </si>
  <si>
    <t>Demand Bidding Program (DBP)</t>
  </si>
  <si>
    <t>Demand Response Auction Mechanism (DRAM)</t>
  </si>
  <si>
    <t>DR Potential Study</t>
  </si>
  <si>
    <t>DR Rule 24</t>
  </si>
  <si>
    <t>DR Systems &amp; Technology Support</t>
  </si>
  <si>
    <t>Emergency Load Reduction Program (ELRP)</t>
  </si>
  <si>
    <t>Emergency Load Reduction Program (ELRP) Incentives</t>
  </si>
  <si>
    <t>Emerging Markets and Technology</t>
  </si>
  <si>
    <t>Evaluation, Measurement &amp; Verification (EM&amp;V)</t>
  </si>
  <si>
    <t>IDSM Non Residential</t>
  </si>
  <si>
    <t>IDSM Residential</t>
  </si>
  <si>
    <t>Other Local Marketing</t>
  </si>
  <si>
    <t>Optional Binding Mandatory Curtailment (OBMC)</t>
  </si>
  <si>
    <t>Real Time Pricing (RTP)</t>
  </si>
  <si>
    <t>Rotating Outages (RO)</t>
  </si>
  <si>
    <t>Scheduled Load Reduction Program (SLRP)</t>
  </si>
  <si>
    <t>Smart Communicating Thermostat Program (SCT)</t>
  </si>
  <si>
    <t>Smart Energy Program (SEP)</t>
  </si>
  <si>
    <t>Smart Energy Program Incentives</t>
  </si>
  <si>
    <t>Statewide ME&amp;O</t>
  </si>
  <si>
    <t>Summer Discount Plan Program (SDP) - Commercial</t>
  </si>
  <si>
    <t>Summer Discount Plan Program (SDP) - Residential</t>
  </si>
  <si>
    <t>Summer Discount Plan Program (SDP)</t>
  </si>
  <si>
    <t>Summer Discount Plan Program (SDP) Incentives</t>
  </si>
  <si>
    <t>Technology Incentive Program (AutoDR-TI)</t>
  </si>
  <si>
    <t>Virtual Power Plant (VPP) Pilot</t>
  </si>
  <si>
    <t>Virtual Power Plant (VPP) Pilot Incentives</t>
  </si>
  <si>
    <t>Table I-1
SCE Supply-Side Demand &amp; Load-Modifying Response Programs
Subscription Statistic - Program Estimated Ex Ante and Ex Post MWs
2023</t>
  </si>
  <si>
    <t>Southern California Edison</t>
  </si>
  <si>
    <t>Monthly Program Enrollment and Estimated Load Impacts</t>
  </si>
  <si>
    <t>January</t>
  </si>
  <si>
    <t>February</t>
  </si>
  <si>
    <t>March</t>
  </si>
  <si>
    <t>April</t>
  </si>
  <si>
    <t>May</t>
  </si>
  <si>
    <t>June</t>
  </si>
  <si>
    <t>Service Accounts</t>
  </si>
  <si>
    <t>Ex Ante Estimated MW</t>
  </si>
  <si>
    <t>Ex Post Estimated MW</t>
  </si>
  <si>
    <t>Supply-Side Demand Response Programs</t>
  </si>
  <si>
    <t>Sub-Total</t>
  </si>
  <si>
    <t>Load Modifying Demand Response Programs</t>
  </si>
  <si>
    <t>Total All Programs</t>
  </si>
  <si>
    <t>July</t>
  </si>
  <si>
    <t>August</t>
  </si>
  <si>
    <t>September</t>
  </si>
  <si>
    <t>October</t>
  </si>
  <si>
    <t>November</t>
  </si>
  <si>
    <t>December</t>
  </si>
  <si>
    <t>Notes:</t>
  </si>
  <si>
    <t>Table I-1A
Average Load Impact kW / Service Accounts
2023</t>
  </si>
  <si>
    <t>Program Eligibility and Average Load Impacts</t>
  </si>
  <si>
    <t>Average Ex Post Load Impact kW / Service Accounts</t>
  </si>
  <si>
    <t>N/A</t>
  </si>
  <si>
    <t>Average Ex Ante Load Impact kW / Service Accounts</t>
  </si>
  <si>
    <t>TableI-1B
SCE Auto DR Program Subscription Statistics
2023</t>
  </si>
  <si>
    <t>Detailed Breakdown of MW To Date in Auto DR Programs</t>
  </si>
  <si>
    <t>Auto DR Verified MW</t>
  </si>
  <si>
    <t>Demand Response Auction Mechanism (DRAM) and Direct Participation Electric Rule 24</t>
  </si>
  <si>
    <t>General Program</t>
  </si>
  <si>
    <t>MW Funded by Auto DR but not enrolled in qualifying DR Program</t>
  </si>
  <si>
    <t>Total</t>
  </si>
  <si>
    <t>Year-to-Date Program Expenditures</t>
  </si>
  <si>
    <t>2023 Expenditures</t>
  </si>
  <si>
    <t>Year-to-Date 2023 Expenditures</t>
  </si>
  <si>
    <t>Fundshift Adjustments</t>
  </si>
  <si>
    <t>Percent Funding</t>
  </si>
  <si>
    <t>Cost Item</t>
  </si>
  <si>
    <t>Category 1: Supply-Side Demand Response Programs</t>
  </si>
  <si>
    <t>Category 1 Total</t>
  </si>
  <si>
    <t>Category 2: Load Modifying Demand Response Programs</t>
  </si>
  <si>
    <t>Category 2 Total</t>
  </si>
  <si>
    <t>Category 3: Demand Response Auction Mechanism (DRAM and Direct Participation Electric Rule 24</t>
  </si>
  <si>
    <t>Category 3 Total</t>
  </si>
  <si>
    <t>Category 4: Emerging and Enabling Technology Programs</t>
  </si>
  <si>
    <t>Category 4 Total</t>
  </si>
  <si>
    <t>Category 5: Pilots</t>
  </si>
  <si>
    <t>Category 5 Total</t>
  </si>
  <si>
    <t>Category 6: Marketing, Education, and Outreach (ME&amp;O)</t>
  </si>
  <si>
    <t>Flex Alert</t>
  </si>
  <si>
    <t>Category 6 Total</t>
  </si>
  <si>
    <t>Category 7: Portfolio Support (Includes EM&amp;V, System Support, and Notifications)</t>
  </si>
  <si>
    <t>Category 7 Total</t>
  </si>
  <si>
    <t>Total Incremental Cost</t>
  </si>
  <si>
    <t xml:space="preserve">Notes: </t>
  </si>
  <si>
    <t>Workforce Education &amp; Training Smart Students (Smartstudents)</t>
  </si>
  <si>
    <t>Table I-3
SCE Demand Response Programs
Customer Program Incentives
2023</t>
  </si>
  <si>
    <t>Annual Total Cost</t>
  </si>
  <si>
    <r>
      <t xml:space="preserve">Total Embedded Cost and Revenues </t>
    </r>
    <r>
      <rPr>
        <vertAlign val="superscript"/>
        <sz val="10"/>
        <color theme="1"/>
        <rFont val="Calibri"/>
        <family val="2"/>
        <scheme val="minor"/>
      </rPr>
      <t>(1) (2)</t>
    </r>
  </si>
  <si>
    <t>Year-to-Date Total</t>
  </si>
  <si>
    <t>Program Incentives</t>
  </si>
  <si>
    <t>Total Cost Of Incentives</t>
  </si>
  <si>
    <t>Revenues from Excess Energy Charges</t>
  </si>
  <si>
    <t>Table I-4
SCE Demand Response Programs and Activities Fund Shifting
2023</t>
  </si>
  <si>
    <t>Fund Shifting Documentation Per Decision 12-04-045 Ordering Paragraphs 4 and 6.</t>
  </si>
  <si>
    <t xml:space="preserve">OP 4: </t>
  </si>
  <si>
    <t>The Utilities may not shift funds between categories with two exceptions as stated in OP 4 and 5;</t>
  </si>
  <si>
    <t>The Utilities may shift funds for pilots in the Enabling or Emerging Technologies category;</t>
  </si>
  <si>
    <t>The Utilities shall submit a Tier 2 Advice Letter before shifting more than 50% of a program's budget to a different program within the same budget category;</t>
  </si>
  <si>
    <t>OP 6:</t>
  </si>
  <si>
    <t>The Utilities may shift funds in category 4 (Enabling &amp; Emerging Technologies) into the Permanent Load Shifting program with a Tier 2 Advice Letter.</t>
  </si>
  <si>
    <t>Program Category</t>
  </si>
  <si>
    <t>Fund Shift</t>
  </si>
  <si>
    <t>Programs Impacted</t>
  </si>
  <si>
    <t>Date</t>
  </si>
  <si>
    <t>Rationale for Fundshift</t>
  </si>
  <si>
    <t>Table I-5
SCE Demand Response Programs and Activities
2023 Customer Communications, Marketing and Outreach</t>
  </si>
  <si>
    <t>Year-to-Date Marketing Expenditures</t>
  </si>
  <si>
    <t>2023 Authorized Budget (If Applicable)</t>
  </si>
  <si>
    <t>IOU Administrative Costs</t>
  </si>
  <si>
    <t>Statewide ME&amp;O Contract</t>
  </si>
  <si>
    <t>I. Total Statewide Marketing</t>
  </si>
  <si>
    <r>
      <t xml:space="preserve">II. Utility Marketing By Activity </t>
    </r>
    <r>
      <rPr>
        <b/>
        <vertAlign val="superscript"/>
        <sz val="10"/>
        <color theme="1"/>
        <rFont val="Calibri"/>
        <family val="2"/>
        <scheme val="minor"/>
      </rPr>
      <t>(1)</t>
    </r>
  </si>
  <si>
    <t>Total Authorized Marketing Budget</t>
  </si>
  <si>
    <t>PROGRAMS, RATES &amp; ACTIVITIES WHICH DO NOT REQUIRE ITEMIZED</t>
  </si>
  <si>
    <t>Category 1: Supply-Side Demand Reponse Programs</t>
  </si>
  <si>
    <t xml:space="preserve"> </t>
  </si>
  <si>
    <t>Catgory 3: Demand Response Auction Mechanism (DRAM and Direct Participation Electric Rule 24</t>
  </si>
  <si>
    <r>
      <t xml:space="preserve">Category 6: Marketing, Education, and Outreach (ME&amp;O) </t>
    </r>
    <r>
      <rPr>
        <b/>
        <i/>
        <vertAlign val="superscript"/>
        <sz val="10"/>
        <color theme="1"/>
        <rFont val="Calibri"/>
        <family val="2"/>
        <scheme val="minor"/>
      </rPr>
      <t>(2)</t>
    </r>
  </si>
  <si>
    <t>Category 7: Portfolio Suppoert (Includes EM&amp;V, System Support, and Notifications)</t>
  </si>
  <si>
    <t>SUBTOTAL</t>
  </si>
  <si>
    <t>PROGRAMS &amp; RATES WHICH REQUIRE ITEMIZED ACCOUNTING</t>
  </si>
  <si>
    <t>Customer Research</t>
  </si>
  <si>
    <t>Collateral-Development, Printing, Distribution, etc… (all non-labor costs)</t>
  </si>
  <si>
    <t>Labor</t>
  </si>
  <si>
    <t>Paid Media</t>
  </si>
  <si>
    <t>Other Costs</t>
  </si>
  <si>
    <t>Third Party</t>
  </si>
  <si>
    <t>II. TOTAL UTILITY MARKETING BY ACTIVITY</t>
  </si>
  <si>
    <t xml:space="preserve">III. UTILITY MARKETING BY ITEMIZED COST </t>
  </si>
  <si>
    <t>Total from Program, Rates &amp; Activities that do not require itemized accounting</t>
  </si>
  <si>
    <t xml:space="preserve">III. TOTAL UTILITY MARKETING BY ITEMIZED COST </t>
  </si>
  <si>
    <r>
      <t xml:space="preserve">IV. UTILITY MARKETING BY CUSTOMER SEGMENT  </t>
    </r>
    <r>
      <rPr>
        <b/>
        <vertAlign val="superscript"/>
        <sz val="10"/>
        <color theme="1"/>
        <rFont val="Calibri"/>
        <family val="2"/>
        <scheme val="minor"/>
      </rPr>
      <t>(3)</t>
    </r>
  </si>
  <si>
    <t>Agricultural / Pumping</t>
  </si>
  <si>
    <t>Large Commercial and Industrial</t>
  </si>
  <si>
    <t>Small and Medium Commercial</t>
  </si>
  <si>
    <t>Residential</t>
  </si>
  <si>
    <t>IV. TOTAL UTILITY MARKETING BY CUSTOMER SEGMENT</t>
  </si>
  <si>
    <t xml:space="preserve">(1) Utility Marketing includes all activities to market individual utility programs or rates, demand response concepts, and customer tools,  that were approved or directed by Decision 12-04-045, 14-05-025 and 17-12-003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</si>
  <si>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(2) Other Local Marketing is part of Itemized Accounting in section: II</t>
  </si>
  <si>
    <t>(3) Cost split by customer segment is estimated.</t>
  </si>
  <si>
    <t>2018-2022 Funding Cycle Customer Communication, Marketing, and Outreach</t>
  </si>
  <si>
    <t>Q1</t>
  </si>
  <si>
    <t>Q2</t>
  </si>
  <si>
    <t>Q3</t>
  </si>
  <si>
    <t>Q4</t>
  </si>
  <si>
    <t>I. Statewide Marketing</t>
  </si>
  <si>
    <t>Table I-6
SCE Supply-Side Demand &amp; Load-Modifying Response Programs
2023 Event Summary</t>
  </si>
  <si>
    <t>Year-to-Date Event Summary</t>
  </si>
  <si>
    <t>Program</t>
  </si>
  <si>
    <t>Event No.</t>
  </si>
  <si>
    <r>
      <t xml:space="preserve">Event Trigger </t>
    </r>
    <r>
      <rPr>
        <b/>
        <vertAlign val="superscript"/>
        <sz val="10"/>
        <color theme="1"/>
        <rFont val="Calibri"/>
        <family val="2"/>
        <scheme val="minor"/>
      </rPr>
      <t>(1)</t>
    </r>
  </si>
  <si>
    <r>
      <t xml:space="preserve">Load Reduction MW </t>
    </r>
    <r>
      <rPr>
        <b/>
        <vertAlign val="superscript"/>
        <sz val="10"/>
        <color theme="1"/>
        <rFont val="Calibri"/>
        <family val="2"/>
        <scheme val="minor"/>
      </rPr>
      <t>(2) (3)</t>
    </r>
  </si>
  <si>
    <r>
      <t xml:space="preserve">Load Reduction Based Upon </t>
    </r>
    <r>
      <rPr>
        <b/>
        <vertAlign val="superscript"/>
        <sz val="10"/>
        <color theme="1"/>
        <rFont val="Calibri"/>
        <family val="2"/>
        <scheme val="minor"/>
      </rPr>
      <t>(2) (3)</t>
    </r>
  </si>
  <si>
    <t>Area Called</t>
  </si>
  <si>
    <r>
      <t xml:space="preserve">Event Beginning Time </t>
    </r>
    <r>
      <rPr>
        <b/>
        <vertAlign val="superscript"/>
        <sz val="10"/>
        <color theme="1"/>
        <rFont val="Calibri"/>
        <family val="2"/>
        <scheme val="minor"/>
      </rPr>
      <t>(4)</t>
    </r>
  </si>
  <si>
    <r>
      <t xml:space="preserve">Event End Time </t>
    </r>
    <r>
      <rPr>
        <b/>
        <vertAlign val="superscript"/>
        <sz val="10"/>
        <color theme="1"/>
        <rFont val="Calibri"/>
        <family val="2"/>
        <scheme val="minor"/>
      </rPr>
      <t>(4)</t>
    </r>
  </si>
  <si>
    <r>
      <t xml:space="preserve">Program Total Hours (Annual) </t>
    </r>
    <r>
      <rPr>
        <b/>
        <vertAlign val="superscript"/>
        <sz val="10"/>
        <color theme="1"/>
        <rFont val="Calibri"/>
        <family val="2"/>
        <scheme val="minor"/>
      </rPr>
      <t>(5)</t>
    </r>
  </si>
  <si>
    <t>2021
 Total
 Expenditures</t>
  </si>
  <si>
    <t>2022
 Total
 Expenditures</t>
  </si>
  <si>
    <t>Program-to-Date Total Expenditures</t>
  </si>
  <si>
    <t>Cycle Funding</t>
  </si>
  <si>
    <t>I. Flex Alert</t>
  </si>
  <si>
    <t>CBP- Capacity Bidding Program- Day of (1-6)</t>
  </si>
  <si>
    <t>Energy Prices</t>
  </si>
  <si>
    <t>Preliminary</t>
  </si>
  <si>
    <t>SLAP_SCEC</t>
  </si>
  <si>
    <t>SLAP_SCEW</t>
  </si>
  <si>
    <t>SLAP_SCNW</t>
  </si>
  <si>
    <r>
      <rPr>
        <b/>
        <sz val="10"/>
        <rFont val="Calibri"/>
        <family val="2"/>
        <scheme val="minor"/>
      </rPr>
      <t>2023</t>
    </r>
    <r>
      <rPr>
        <b/>
        <sz val="10"/>
        <color theme="1"/>
        <rFont val="Calibri"/>
        <family val="2"/>
        <scheme val="minor"/>
      </rPr>
      <t xml:space="preserve"> Funding Cycle Customer Communication, Marketing, and Outreach</t>
    </r>
  </si>
  <si>
    <t>2018-2022 Customized</t>
  </si>
  <si>
    <t>2018-2022 Express</t>
  </si>
  <si>
    <t>2023 Customized</t>
  </si>
  <si>
    <t>2023 Express</t>
  </si>
  <si>
    <t>Table I-2A
SCE Demand Response Programs and Activities
Carry-Over Expenditures and Funding
2023</t>
  </si>
  <si>
    <t>2021 Total Incentives</t>
  </si>
  <si>
    <t>Program-to-Date Incentives 2021-2023</t>
  </si>
  <si>
    <t>Estimated Eligible Accounts as of Jan 1, 2023</t>
  </si>
  <si>
    <t>All customers &gt; 37kW or connected load of 50 horsepower or greater on a TOU Ag &amp; Pump rate excluding DRAM, CBP, CPP, LCR, and customers on any Third Party DR Program</t>
  </si>
  <si>
    <t>All C &amp; I customers &gt; 200kW, excluding those on  SDP, CPP, CBP, LCR, and any Third Party DR Program</t>
  </si>
  <si>
    <t>All C &amp; I customers &gt; 200kW, excluding those on SDP, CPP, CBP, LCR, and any Third Party DR Program</t>
  </si>
  <si>
    <t>All customers (Residential and Commercial) with an IDR or Smart Connect Meter (excluding customers on any Third Party DR Program, and non-residential customers under any streetlight, area Lighting, traffic control or wireless technology rate)</t>
  </si>
  <si>
    <t>All residential customers with Smart Meters excluding those on the following programs or rates: DM, DMS-1, DMS-2, DMS-3, SDP, DRAM,  DRC, Registered with 3rd Party DRP, CPP, CBP, and Medical Baseline Allocation for A/C. (AC penetration = 0.5)</t>
  </si>
  <si>
    <t>All commercial customers with central air conditioning, excluding those on CBP, CPP, BIP, or any third party programs (AC penetration = 0.77)</t>
  </si>
  <si>
    <t>All residential customers with Smart Meters excluding those on rates DM, DMS-1, DMS-2, DMS-3, Medical Baseline with A/C, CPP, SEP, or any third party programs (AC penetration = 0.5)</t>
  </si>
  <si>
    <t>All bundled service customers with an IDR or Smart Connect Meter excluding those on rates DM, DMS-1, DMS-2, DMS-3, D-S, SLRP, TOU-GS-1 (Option B,C, D), TOU-EV, and customers under any streetlight, area Lighting, and traffic control.  Not eligible to dually enroll  in any other demand response program, except the Emergency Load Reduction Program.</t>
  </si>
  <si>
    <t>All bundled service customers with an IDR or Smart Connect Meter excluding those on rates DMS-2, DMS-3, S, SLRP, TOU-EV, TOU-GS-2 (Option A, E R, ), TOU-PA-2 (Option E, E5 to 8), customers under any streetlight, area Lighting, and traffic control. Not eligible to dually  enroll  in  any other demand  response  program, except the Emergency Load Reduction Program.</t>
  </si>
  <si>
    <t>All bundled service customers with an IDR or Smart Connect Meter excluding those on rates DMS-3, S, SLRP, TOU-EV, TOU-GS-3 (Option E, R), TOU-8 (Option A, E, R), TOU-PA-3 (Option A, E, E 5 to 8), customers under any streetlight, area Lighting, and traffic control. Not eligible to dually  enroll  in  any other demand  response  program, except the Emergency Load Reduction Program.</t>
  </si>
  <si>
    <t>All non-residential bundled service &gt; 500kW, excluding customers on CPP,SLRP, and CBP Day-Ahead .</t>
  </si>
  <si>
    <t>All non-residential bundled service customers with an IDR Meter &gt; 100kW, excluding customers on RTP, CPP, CBP Day-Ahead, or any Third Party DR Program.</t>
  </si>
  <si>
    <t>All non-residential customers who can reduce circuit load by 15%.</t>
  </si>
  <si>
    <t>(4) CBP service accounts reflect monthly nomination counts, not total program enrollment.</t>
  </si>
  <si>
    <t>(2) CBP Day Ahead Ex-Post value is the Day-Ahead 1-6 Hour Load Impact value.</t>
  </si>
  <si>
    <t>(4)The accounts eligible to participate in OBMC are not available because the number of customers who can reduce 15% of their entire circuit load during every rotating outage cannot be reasonably estimated.</t>
  </si>
  <si>
    <t>(2) MWs reported on this page are not excluded from and are not directly related to the MWs on the Program Ex Ante &amp; Ex Post tab.</t>
  </si>
  <si>
    <t>(3) Auto DR Verified MW - Represents verified/tested MW for service accounts that participate in Auto DR</t>
  </si>
  <si>
    <t>(4) Total Technology MW - Represents the sum of verified MW associated with the service accounts in the Auto DR programs</t>
  </si>
  <si>
    <t>(5) General Program Category - Represents MW of participants who have received Auto DR incentives but are not currently enrolled in a qualifying Demand Response Program</t>
  </si>
  <si>
    <t>(1) ) Activity Reflects projects installed in 2023 and still active (no closed accounts)</t>
  </si>
  <si>
    <t>(1) Activity Reflects projects installed 2009-2022 and still active (no closed accounts)</t>
  </si>
  <si>
    <t>(2) Amounts reflected in totals may be corrected in subsequent periods and/or may reflect corrections from previous periods.</t>
  </si>
  <si>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</si>
  <si>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(2) Preliminary event data is estimated based on the below criteria and subject to change based on billing records and verification.</t>
  </si>
  <si>
    <t>CBP: Reported to SCE in aggregate by portfolio and by product nominations by APX.</t>
  </si>
  <si>
    <t xml:space="preserve">(3) Final event data for customer's load reduction (MW) is measured as follows: </t>
  </si>
  <si>
    <t>CBP:  Aggregated load reduction using billing data and the settlement baselines and calculations in accordance with the CBP tariff.</t>
  </si>
  <si>
    <t>(4) Event times are based on CAISO award start and end times or SCE determined start and end times.</t>
  </si>
  <si>
    <t>(5) Hours listed represent the number of hours for the event by individual SLAPs.</t>
  </si>
  <si>
    <t>Table I-2
SCE Demand Response Programs and Activities
Expenditures and Funding
Year-to-Date Program Expenditures
2023</t>
  </si>
  <si>
    <t>(1) Amounts reflected in totals may be corrected in subsequent periods and/or may reflect corrections from previous periods.</t>
  </si>
  <si>
    <t xml:space="preserve">(4) DRAM expenditures represent Resource Adequacy (RA) payments to demand response providers (DRP) based on the Demonstrated Capacity for each applicable Showing (Delivery) Month, in the month that the payments were paid. Payments are calculated as the product of the Contract Price of the RA Product and Demonstrated Capacity (kW) as defined in the DRAM Purchase Agreement, Section 1.6. </t>
  </si>
  <si>
    <t>(3) Incentives are reported separately from admin for programs in Category 1 and Emergency Load Reduction Program (ELRP). BIP incenties include BIP Aggregation incentives and Excess Energy Charges. This is consistent with table I-3.</t>
  </si>
  <si>
    <t>(5) Emerging Markets and Technology (EM&amp;T) includes funding and spend for Dynamic Rate Pilot approved in D.21-12-015.  EM&amp;T budget also includes $4.5M fundshift from ADR as reported in December 2022 ILP Report.</t>
  </si>
  <si>
    <t xml:space="preserve">(6) Historical ELRP Incentive amounts include charges to be recovered in Summer Reliability Demand Response Program Memorandum Account (SRDRPMA) as authorized in D.21-03-056 and D.21-03-056. </t>
  </si>
  <si>
    <t>(7) Bridge Funding budgets approved in D.22-12-009 were authorized at the Category level, therefore, budgets are not allocated to individual program line items.</t>
  </si>
  <si>
    <t>(8) IDSM historical spend for period 2018-2021 was reported in 2021 for simplicity purposes.</t>
  </si>
  <si>
    <t>(9) Unless otherwise notes, historical spend amounts were only inlcuded for budgets that have active funding in 2023 or beyond.</t>
  </si>
  <si>
    <t>(1) Amounts reported are for incentives costs that are recovered in the Demand Response Program Balancing Account (DRPBA), Emergency Load Reduction Program Balancing Account (ELRPBA) and/or Summer Reliability Demand Response Program Memorandum Account (SRDRPMA).</t>
  </si>
  <si>
    <t>(4) CBP represents net of aggregator payment and penalties.</t>
  </si>
  <si>
    <t xml:space="preserve">(2) Incentives are reported in month of settlement or accrual and not necessarily based on the month in which they were earned. </t>
  </si>
  <si>
    <t xml:space="preserve">(3) Incentives are reported separately from admin for programs in Category 1 and Emergency Load Reduction Program (ELRP). BIP incenties include BIP Aggregation and represent the net of  Excess Energy Charges and incentives paid. Revenues from Excess Energy Charges, assessed for BIP participants, are for failure to reduce load when requested during curtailment events.   </t>
  </si>
  <si>
    <t xml:space="preserve">(5) BIP incenties include BIP Aggregation and represent the net of  Excess Energy Charges and incentives paid. Revenues from Excess Energy Charges, assessed for BIP participants, are for failure to reduce load when requested during curtailment events.   </t>
  </si>
  <si>
    <t>(6) SDP-R incentive expenditures include $50 bonus payments offered to new participants in 2022 as approved by D.21-03-056.</t>
  </si>
  <si>
    <t>(7) Unless otherwise notes, historical spend amounts were only inlcuded for budgets that have active funding in 2023 or beyond.</t>
  </si>
  <si>
    <t>The Utilities may shift up to 50% of a program's funds to another program within the same budget category, with proper monthly reporting;</t>
  </si>
  <si>
    <t>The Utilities shall not shift funds within the "Pilots"or "Special Projects" budget categories without a Tier 2 Advice Letter;</t>
  </si>
  <si>
    <t>The Utilities shall continue to submit a Tier 2 Advice Letter to eliminate a Demand Response program;</t>
  </si>
  <si>
    <t>The Utilities shall not eliminate a program through multiple fund shifting
events or for any other reason without prior authorization from
the Commission;</t>
  </si>
  <si>
    <t>D.20-05-009</t>
  </si>
  <si>
    <t>OP 3:</t>
  </si>
  <si>
    <t>Reaffirmed findings in D.09-08-027 as well as D.12-04-045</t>
  </si>
  <si>
    <t xml:space="preserve">The Utilities may submit a request via a Tier 3 advice letter to shift funds between budget categories during this demand response budget cycle. </t>
  </si>
  <si>
    <t xml:space="preserve">(1) Utility Marketing includes all activities to market individual utility programs or rates, demand response concepts, and customer tools whether or not the marketing budget was approved as a line item in the Decision. The programs and activities listed in item II of the template are meant as examples, and may not be exhaustive. The totals for Items II, III and IV should be equal.    </t>
  </si>
  <si>
    <t>(2) Other Local Marketing (OLM) spend is part of Itemized Accounting in section: II</t>
  </si>
  <si>
    <t>(4) Spend includes Carryover and excludes GRC funded programs/activities</t>
  </si>
  <si>
    <t>(1) Carryover program costs, for funding cycles prior to 2023, are reported here and are recorded in SCE's Demand Response Program Balancing Account (DRPBA)and Base Revenue Requirement Balancing Account (BRRBA), unless otherwise noted.  SCE seeks Commission authorization to carryover program costs in its ERRA proceeding.</t>
  </si>
  <si>
    <t>(3) Expenditures include incentives</t>
  </si>
  <si>
    <t>(4) SDP incentive expenditures include $50 bonus payments offered to new SDP Residential participants in 2022 as approved by D.21-03-056.</t>
  </si>
  <si>
    <t>(2) Funding for DR programs and activities are approved in: D.18-05-041, D.21-12-015, D.23-01-006, D.22-12-009 and are recorded in SCE's Demand Response Program Balancing Account (DRPBA), Emergency Load Reduction Program Balancing Account (ELRPBA), Base Revenue Requirement Balancing Account (BRRBA), and Statewide Marketing, Education &amp; Outreach Balancing Account (SME&amp;OBA) as applicable.</t>
  </si>
  <si>
    <t>(3) Average Ex Ante Load Impact kW/Customer = Average kW / Customer, Program Level Impact, under CAISO 1-in-2 weather conditions, of an event that would occur from  4-9pm, (Except for April 5p-10p window) on the system peak day of the month, as reported in the DR load impact studies annual compliance filing on April 1, 2022 (PY2021) for Jan-Mar, April 1, 2023 (PY2022) for Apr-Dec, except where noted.  For programs that are not active outside of the summer season a zero load impact value is reported.  For programs available outside of the summer season, estimated Average Ex Ante Load Impacts for November through March are used depending on available data and reflect a typical event that would occur from 4-9pm under the same conditions. Ex Ante load for OBMC load impacts are based on reports filed in 2008.</t>
  </si>
  <si>
    <t>(1) Estimated Average Ex Post Load Impact kW / Customer = Average kW / Customer service account over actual event hours during the 4-9pm window (Except for April 5p-10p window ) for the preceding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 with the exception of RTP. Ex Post for OBMC Load Impacts are based on reports filed in 2008 and all remaining ex post values are from the DR Load Impact Studies annual compliance filing on April 1, 2022 (PY2021) for Jan-Mar, April 1, 2023 (PY2022) for Apr-Dec.</t>
  </si>
  <si>
    <t>(2) Ex Ante Estimated MW = The monthly ex ante average load impact per customer; (reported in the annual April 1 DR Load Impact Studies filed in compliance with D. 08-04-050 , Ordering Paragraph 4), multiplied by the number of currently enrolled service accounts for the reporting month.  The ex ante average load impact is the average hourly load impact for an event that would occur from 4-9pm (Except for April 5p-10p window) on the system peak day of the month.  Monthly ex ante estimates are indicated only for programs which can be called for events that reporting month. For programs that are not available that month or do not have a positive load impact, a value of zero is reported. SDP Residential is available year-round, however, due to no events being called during certain months in previous years, no ex ante data is available.</t>
  </si>
  <si>
    <t>(3) Ex Post Estimated MW = The monthly ex post average load impact per customer; (reported in the annual April 1 DR Load Impact Studies filed in compliance with D. 08-04-050 , Ordering Paragraph 4), multiplied by the number of currently enrolled service accounts for the reporting month.  The annual ex post average load impact is the average hourly load impact per customer for those customers that may have participated in an event(s) between 4-9pm (Except for April 5p-10p window) on event days in the preceding year when or if events occurred. Ex Post OBMC Load Impacts are based on program year 2008.</t>
  </si>
  <si>
    <t>(1)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 post estimate such as normalized weather conditions, expected customer mix during events, expected time of day which events occur, expected days of the week which events occur, and other lesser effects etc.  An ex ante forecast reflects forecast impact estimates that would occur between 4 pm and 9pm (Except for April 5p-10p window) during a specific DR program’s operating season, based on CAISO 1-in-2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April 1st Compliance Filing.  The differences are attributed to the use of average values over specific load impact hours and other factors.</t>
  </si>
  <si>
    <t>2023 Total Incentives</t>
  </si>
  <si>
    <t>Auto-DR Technology Incentives (AutoDR TI) Commitments Outstanding as of 6/30/2023</t>
  </si>
  <si>
    <t>Self-Scheduled DAM</t>
  </si>
  <si>
    <t>Final</t>
  </si>
  <si>
    <t>SLAP_SCEN</t>
  </si>
  <si>
    <t>SLAP_SCHD</t>
  </si>
  <si>
    <t>SLAP_SCLD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</si>
</sst>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
    <numFmt numFmtId="167" formatCode="[$-409]h:mm\ AM/PM;@"/>
    <numFmt numFmtId="168" formatCode="[h]:mm;@"/>
    <numFmt numFmtId="169" formatCode="#,##0.0"/>
    <numFmt numFmtId="170" formatCode="mm/dd/yy;@"/>
    <numFmt numFmtId="171" formatCode="_(&quot;$&quot;* #,##0_);_(&quot;$&quot;* \(#,##0\);_(&quot;$&quot;* &quot;-&quot;??_);_(@_)"/>
  </numFmts>
  <fonts count="16"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11"/>
      <color theme="0"/>
      <name val="Calibri"/>
      <family val="2"/>
      <scheme val="minor"/>
    </font>
    <font>
      <vertAlign val="superscript"/>
      <sz val="10"/>
      <color theme="1"/>
      <name val="Calibri"/>
      <family val="2"/>
      <scheme val="minor"/>
    </font>
    <font>
      <sz val="10"/>
      <name val="Calibri"/>
      <family val="2"/>
      <scheme val="minor"/>
    </font>
    <font>
      <b/>
      <vertAlign val="superscript"/>
      <sz val="10"/>
      <color theme="1"/>
      <name val="Calibri"/>
      <family val="2"/>
      <scheme val="minor"/>
    </font>
    <font>
      <sz val="10"/>
      <color theme="0"/>
      <name val="Calibri"/>
      <family val="2"/>
      <scheme val="minor"/>
    </font>
    <font>
      <b/>
      <i/>
      <vertAlign val="superscript"/>
      <sz val="10"/>
      <color theme="1"/>
      <name val="Calibri"/>
      <family val="2"/>
      <scheme val="minor"/>
    </font>
    <font>
      <i/>
      <sz val="10"/>
      <color theme="1"/>
      <name val="Calibri"/>
      <family val="2"/>
      <scheme val="minor"/>
    </font>
    <font>
      <sz val="11"/>
      <color theme="1"/>
      <name val="Calibri"/>
      <family val="2"/>
      <scheme val="minor"/>
    </font>
    <font>
      <sz val="11"/>
      <color rgb="FFFF0000"/>
      <name val="Calibri"/>
      <family val="2"/>
      <scheme val="minor"/>
    </font>
    <font>
      <b/>
      <sz val="10"/>
      <name val="Calibri"/>
      <family val="2"/>
      <scheme val="minor"/>
    </font>
    <font>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uble">
        <color indexed="64"/>
      </top>
      <bottom style="double">
        <color indexed="64"/>
      </bottom>
      <diagonal/>
    </border>
  </borders>
  <cellStyleXfs count="6">
    <xf numFmtId="0" fontId="0" fillId="0" borderId="0"/>
    <xf numFmtId="44"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44" fontId="15" fillId="0" borderId="0" applyFont="0" applyFill="0" applyBorder="0" applyAlignment="0" applyProtection="0"/>
    <xf numFmtId="0" fontId="15" fillId="0" borderId="0"/>
  </cellStyleXfs>
  <cellXfs count="271">
    <xf numFmtId="0" fontId="0" fillId="0" borderId="0" xfId="0"/>
    <xf numFmtId="0" fontId="2" fillId="0" borderId="0" xfId="0" applyFont="1"/>
    <xf numFmtId="0" fontId="3" fillId="0" borderId="0" xfId="0" applyFont="1"/>
    <xf numFmtId="0" fontId="2" fillId="0" borderId="0" xfId="0" applyFont="1" applyAlignment="1">
      <alignment wrapText="1"/>
    </xf>
    <xf numFmtId="0" fontId="3" fillId="0" borderId="0" xfId="0" applyFont="1" applyAlignment="1">
      <alignment horizontal="center" wrapText="1"/>
    </xf>
    <xf numFmtId="0" fontId="0" fillId="2" borderId="5" xfId="0" applyFill="1" applyBorder="1"/>
    <xf numFmtId="0" fontId="0" fillId="2" borderId="7" xfId="0" applyFill="1" applyBorder="1"/>
    <xf numFmtId="0" fontId="0" fillId="2" borderId="8" xfId="0" applyFill="1" applyBorder="1"/>
    <xf numFmtId="0" fontId="0" fillId="0" borderId="9" xfId="0" applyBorder="1"/>
    <xf numFmtId="0" fontId="0" fillId="0" borderId="10" xfId="0" applyBorder="1"/>
    <xf numFmtId="0" fontId="0" fillId="0" borderId="12" xfId="0" applyBorder="1"/>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0" xfId="0" applyFont="1" applyBorder="1" applyAlignment="1">
      <alignment horizontal="center" wrapText="1"/>
    </xf>
    <xf numFmtId="0" fontId="3" fillId="0" borderId="8" xfId="0" applyFont="1" applyBorder="1" applyAlignment="1">
      <alignment horizontal="center" wrapText="1"/>
    </xf>
    <xf numFmtId="0" fontId="3" fillId="2" borderId="17" xfId="0" applyFont="1" applyFill="1" applyBorder="1"/>
    <xf numFmtId="0" fontId="2" fillId="0" borderId="18" xfId="0" applyFont="1" applyBorder="1"/>
    <xf numFmtId="0" fontId="0" fillId="0" borderId="18" xfId="0" applyBorder="1"/>
    <xf numFmtId="0" fontId="3" fillId="0" borderId="1" xfId="0" applyFont="1" applyBorder="1" applyAlignment="1">
      <alignment horizontal="center" wrapText="1"/>
    </xf>
    <xf numFmtId="0" fontId="0" fillId="0" borderId="17" xfId="0" applyBorder="1"/>
    <xf numFmtId="0" fontId="1" fillId="0" borderId="0" xfId="0" applyFont="1"/>
    <xf numFmtId="0" fontId="2" fillId="0" borderId="23" xfId="0" applyFont="1" applyBorder="1" applyAlignment="1">
      <alignment horizontal="center" vertical="top"/>
    </xf>
    <xf numFmtId="0" fontId="2" fillId="0" borderId="24" xfId="0" applyFont="1" applyBorder="1" applyAlignment="1">
      <alignment horizontal="center" vertical="top"/>
    </xf>
    <xf numFmtId="0" fontId="2" fillId="0" borderId="25" xfId="0" applyFont="1" applyBorder="1" applyAlignment="1">
      <alignment horizontal="center" vertical="top"/>
    </xf>
    <xf numFmtId="0" fontId="3" fillId="0" borderId="20" xfId="0" applyFont="1" applyBorder="1" applyAlignment="1">
      <alignment horizontal="center" vertical="top"/>
    </xf>
    <xf numFmtId="0" fontId="2" fillId="0" borderId="21" xfId="0" applyFont="1" applyBorder="1" applyAlignment="1">
      <alignment horizontal="center" vertical="top"/>
    </xf>
    <xf numFmtId="0" fontId="2" fillId="0" borderId="22" xfId="0" applyFont="1" applyBorder="1" applyAlignment="1">
      <alignment horizontal="center" vertical="top"/>
    </xf>
    <xf numFmtId="165" fontId="3" fillId="0" borderId="21" xfId="0" applyNumberFormat="1" applyFont="1" applyBorder="1" applyAlignment="1">
      <alignment horizontal="center" vertical="top"/>
    </xf>
    <xf numFmtId="0" fontId="4" fillId="0" borderId="0" xfId="0" applyFont="1"/>
    <xf numFmtId="0" fontId="2" fillId="0" borderId="3" xfId="0" applyFont="1" applyBorder="1"/>
    <xf numFmtId="0" fontId="3" fillId="0" borderId="3" xfId="0" applyFont="1" applyBorder="1"/>
    <xf numFmtId="0" fontId="2" fillId="0" borderId="4" xfId="0" applyFont="1" applyBorder="1"/>
    <xf numFmtId="0" fontId="2" fillId="0" borderId="7" xfId="0" applyFont="1" applyBorder="1"/>
    <xf numFmtId="0" fontId="2" fillId="0" borderId="11" xfId="0" applyFont="1" applyBorder="1"/>
    <xf numFmtId="0" fontId="2" fillId="0" borderId="12" xfId="0" applyFont="1" applyBorder="1"/>
    <xf numFmtId="0" fontId="3" fillId="3" borderId="2" xfId="0" applyFont="1" applyFill="1" applyBorder="1"/>
    <xf numFmtId="0" fontId="2" fillId="0" borderId="9" xfId="0" applyFont="1" applyBorder="1"/>
    <xf numFmtId="0" fontId="3" fillId="0" borderId="2" xfId="0" applyFont="1" applyBorder="1"/>
    <xf numFmtId="0" fontId="2" fillId="0" borderId="19" xfId="0" applyFont="1" applyBorder="1"/>
    <xf numFmtId="0" fontId="3" fillId="2" borderId="7" xfId="0" applyFont="1" applyFill="1" applyBorder="1"/>
    <xf numFmtId="0" fontId="2" fillId="2" borderId="8" xfId="0" applyFont="1" applyFill="1" applyBorder="1"/>
    <xf numFmtId="0" fontId="2" fillId="2" borderId="7" xfId="0" applyFont="1" applyFill="1" applyBorder="1"/>
    <xf numFmtId="0" fontId="2" fillId="2" borderId="5" xfId="0" applyFont="1" applyFill="1" applyBorder="1"/>
    <xf numFmtId="0" fontId="3" fillId="0" borderId="0" xfId="0" applyFont="1" applyAlignment="1">
      <alignment horizontal="center"/>
    </xf>
    <xf numFmtId="0" fontId="3" fillId="2" borderId="8" xfId="0" applyFont="1" applyFill="1" applyBorder="1"/>
    <xf numFmtId="0" fontId="3" fillId="0" borderId="10" xfId="0" applyFont="1" applyBorder="1"/>
    <xf numFmtId="0" fontId="3" fillId="0" borderId="9" xfId="0" applyFont="1" applyBorder="1"/>
    <xf numFmtId="0" fontId="3" fillId="2" borderId="15" xfId="0" applyFont="1" applyFill="1" applyBorder="1"/>
    <xf numFmtId="0" fontId="1" fillId="2" borderId="17" xfId="0" applyFont="1" applyFill="1" applyBorder="1"/>
    <xf numFmtId="0" fontId="3" fillId="2" borderId="17" xfId="0" applyFont="1" applyFill="1" applyBorder="1" applyAlignment="1">
      <alignment wrapText="1"/>
    </xf>
    <xf numFmtId="0" fontId="3" fillId="0" borderId="7" xfId="0" applyFont="1" applyBorder="1"/>
    <xf numFmtId="0" fontId="3" fillId="0" borderId="8" xfId="0" applyFont="1" applyBorder="1"/>
    <xf numFmtId="0" fontId="3" fillId="3" borderId="15" xfId="0" applyFont="1" applyFill="1" applyBorder="1"/>
    <xf numFmtId="0" fontId="3" fillId="3" borderId="1" xfId="0" applyFont="1" applyFill="1" applyBorder="1" applyAlignment="1">
      <alignment horizontal="center"/>
    </xf>
    <xf numFmtId="0" fontId="4" fillId="0" borderId="0" xfId="0" applyFont="1" applyAlignment="1">
      <alignment wrapText="1"/>
    </xf>
    <xf numFmtId="0" fontId="3" fillId="0" borderId="5" xfId="0" applyFont="1" applyBorder="1"/>
    <xf numFmtId="0" fontId="2" fillId="0" borderId="5" xfId="0" applyFont="1" applyBorder="1"/>
    <xf numFmtId="0" fontId="2" fillId="0" borderId="9" xfId="0" applyFont="1" applyBorder="1" applyAlignment="1">
      <alignment horizontal="left" indent="1"/>
    </xf>
    <xf numFmtId="0" fontId="2" fillId="0" borderId="11" xfId="0" applyFont="1" applyBorder="1" applyAlignment="1">
      <alignment horizontal="left" indent="1"/>
    </xf>
    <xf numFmtId="0" fontId="2" fillId="2" borderId="12" xfId="0" applyFont="1" applyFill="1" applyBorder="1"/>
    <xf numFmtId="0" fontId="2" fillId="2" borderId="0" xfId="0" applyFont="1" applyFill="1"/>
    <xf numFmtId="0" fontId="4" fillId="0" borderId="2" xfId="0" applyFont="1" applyBorder="1" applyAlignment="1">
      <alignment wrapText="1"/>
    </xf>
    <xf numFmtId="0" fontId="2" fillId="3" borderId="3" xfId="0" applyFont="1" applyFill="1" applyBorder="1"/>
    <xf numFmtId="165" fontId="3" fillId="3" borderId="3" xfId="0" applyNumberFormat="1" applyFont="1" applyFill="1" applyBorder="1"/>
    <xf numFmtId="0" fontId="2" fillId="0" borderId="2" xfId="0" applyFont="1" applyBorder="1"/>
    <xf numFmtId="0" fontId="2" fillId="2" borderId="3" xfId="0" applyFont="1" applyFill="1" applyBorder="1"/>
    <xf numFmtId="0" fontId="2" fillId="2" borderId="2" xfId="0" applyFont="1" applyFill="1" applyBorder="1"/>
    <xf numFmtId="0" fontId="2" fillId="0" borderId="1" xfId="0" applyFont="1" applyBorder="1"/>
    <xf numFmtId="0" fontId="1" fillId="0" borderId="11" xfId="0" applyFont="1" applyBorder="1" applyAlignment="1">
      <alignment horizontal="right"/>
    </xf>
    <xf numFmtId="0" fontId="0" fillId="0" borderId="2" xfId="0" applyBorder="1"/>
    <xf numFmtId="0" fontId="0" fillId="0" borderId="4" xfId="0" applyBorder="1"/>
    <xf numFmtId="6" fontId="2" fillId="2" borderId="5" xfId="0" applyNumberFormat="1" applyFont="1" applyFill="1" applyBorder="1"/>
    <xf numFmtId="6" fontId="2" fillId="0" borderId="5" xfId="0" applyNumberFormat="1" applyFont="1" applyBorder="1"/>
    <xf numFmtId="6" fontId="2" fillId="2" borderId="8" xfId="0" applyNumberFormat="1" applyFont="1" applyFill="1" applyBorder="1"/>
    <xf numFmtId="0" fontId="6" fillId="0" borderId="0" xfId="0" quotePrefix="1" applyFont="1"/>
    <xf numFmtId="6" fontId="2" fillId="2" borderId="0" xfId="0" applyNumberFormat="1" applyFont="1" applyFill="1"/>
    <xf numFmtId="6" fontId="2" fillId="0" borderId="0" xfId="0" applyNumberFormat="1" applyFont="1"/>
    <xf numFmtId="6" fontId="7" fillId="0" borderId="0" xfId="0" applyNumberFormat="1" applyFont="1"/>
    <xf numFmtId="6" fontId="2" fillId="2" borderId="10" xfId="0" applyNumberFormat="1" applyFont="1" applyFill="1" applyBorder="1"/>
    <xf numFmtId="6" fontId="2" fillId="2" borderId="12" xfId="0" applyNumberFormat="1" applyFont="1" applyFill="1" applyBorder="1"/>
    <xf numFmtId="6" fontId="2" fillId="0" borderId="12" xfId="0" applyNumberFormat="1" applyFont="1" applyBorder="1"/>
    <xf numFmtId="6" fontId="2" fillId="2" borderId="13" xfId="0" applyNumberFormat="1" applyFont="1" applyFill="1" applyBorder="1"/>
    <xf numFmtId="6" fontId="3" fillId="3" borderId="3" xfId="0" applyNumberFormat="1" applyFont="1" applyFill="1" applyBorder="1"/>
    <xf numFmtId="6" fontId="3" fillId="3" borderId="4" xfId="0" applyNumberFormat="1" applyFont="1" applyFill="1" applyBorder="1"/>
    <xf numFmtId="164" fontId="2" fillId="0" borderId="0" xfId="0" applyNumberFormat="1" applyFont="1"/>
    <xf numFmtId="6" fontId="3" fillId="2" borderId="0" xfId="0" applyNumberFormat="1" applyFont="1" applyFill="1"/>
    <xf numFmtId="9" fontId="3" fillId="2" borderId="0" xfId="0" applyNumberFormat="1" applyFont="1" applyFill="1"/>
    <xf numFmtId="0" fontId="3" fillId="5" borderId="3" xfId="0" applyFont="1" applyFill="1" applyBorder="1"/>
    <xf numFmtId="6" fontId="3" fillId="5" borderId="3" xfId="0" applyNumberFormat="1" applyFont="1" applyFill="1" applyBorder="1"/>
    <xf numFmtId="9" fontId="3" fillId="5" borderId="3" xfId="0" applyNumberFormat="1" applyFont="1" applyFill="1" applyBorder="1"/>
    <xf numFmtId="0" fontId="9" fillId="0" borderId="0" xfId="0" applyFont="1"/>
    <xf numFmtId="0" fontId="2" fillId="0" borderId="12" xfId="0" applyFont="1" applyBorder="1" applyAlignment="1">
      <alignment horizontal="left" indent="2"/>
    </xf>
    <xf numFmtId="0" fontId="3" fillId="4" borderId="3" xfId="0" applyFont="1" applyFill="1" applyBorder="1"/>
    <xf numFmtId="0" fontId="2" fillId="4" borderId="3" xfId="0" applyFont="1" applyFill="1" applyBorder="1"/>
    <xf numFmtId="9" fontId="2" fillId="2" borderId="0" xfId="0" applyNumberFormat="1" applyFont="1" applyFill="1"/>
    <xf numFmtId="0" fontId="3" fillId="2" borderId="3" xfId="0" applyFont="1" applyFill="1" applyBorder="1"/>
    <xf numFmtId="6" fontId="3" fillId="2" borderId="3" xfId="0" applyNumberFormat="1" applyFont="1" applyFill="1" applyBorder="1"/>
    <xf numFmtId="0" fontId="3" fillId="0" borderId="12" xfId="0" applyFont="1" applyBorder="1"/>
    <xf numFmtId="6" fontId="3" fillId="0" borderId="12" xfId="0" applyNumberFormat="1" applyFont="1" applyBorder="1"/>
    <xf numFmtId="6" fontId="3" fillId="2" borderId="5" xfId="0" applyNumberFormat="1" applyFont="1" applyFill="1" applyBorder="1"/>
    <xf numFmtId="6" fontId="3" fillId="2" borderId="12" xfId="0" applyNumberFormat="1" applyFont="1" applyFill="1" applyBorder="1"/>
    <xf numFmtId="0" fontId="2" fillId="5" borderId="3" xfId="0" applyFont="1" applyFill="1" applyBorder="1"/>
    <xf numFmtId="0" fontId="11" fillId="0" borderId="0" xfId="0" applyFont="1"/>
    <xf numFmtId="0" fontId="5" fillId="0" borderId="0" xfId="0" applyFont="1"/>
    <xf numFmtId="0" fontId="3" fillId="0" borderId="1" xfId="0" applyFont="1" applyBorder="1" applyAlignment="1">
      <alignment horizontal="center"/>
    </xf>
    <xf numFmtId="0" fontId="2" fillId="0" borderId="0" xfId="0" applyFont="1" applyAlignment="1">
      <alignment horizontal="left" indent="3"/>
    </xf>
    <xf numFmtId="165" fontId="2" fillId="2" borderId="5" xfId="0" applyNumberFormat="1" applyFont="1" applyFill="1" applyBorder="1"/>
    <xf numFmtId="165" fontId="2" fillId="0" borderId="5" xfId="0" applyNumberFormat="1" applyFont="1" applyBorder="1"/>
    <xf numFmtId="165" fontId="2" fillId="2" borderId="0" xfId="0" applyNumberFormat="1" applyFont="1" applyFill="1"/>
    <xf numFmtId="165" fontId="2" fillId="0" borderId="0" xfId="0" applyNumberFormat="1" applyFont="1"/>
    <xf numFmtId="165" fontId="2" fillId="2" borderId="12" xfId="0" applyNumberFormat="1" applyFont="1" applyFill="1" applyBorder="1"/>
    <xf numFmtId="165" fontId="2" fillId="0" borderId="12" xfId="0" applyNumberFormat="1" applyFont="1" applyBorder="1"/>
    <xf numFmtId="165" fontId="2" fillId="3" borderId="3" xfId="0" applyNumberFormat="1" applyFont="1" applyFill="1" applyBorder="1"/>
    <xf numFmtId="10" fontId="2" fillId="2" borderId="5" xfId="0" applyNumberFormat="1" applyFont="1" applyFill="1" applyBorder="1"/>
    <xf numFmtId="10" fontId="2" fillId="2" borderId="0" xfId="0" applyNumberFormat="1" applyFont="1" applyFill="1"/>
    <xf numFmtId="10" fontId="2" fillId="2" borderId="12" xfId="0" applyNumberFormat="1" applyFont="1" applyFill="1" applyBorder="1"/>
    <xf numFmtId="164" fontId="3" fillId="2" borderId="3" xfId="0" applyNumberFormat="1" applyFont="1" applyFill="1" applyBorder="1"/>
    <xf numFmtId="169" fontId="2" fillId="0" borderId="2" xfId="0" applyNumberFormat="1" applyFont="1" applyBorder="1"/>
    <xf numFmtId="169" fontId="2" fillId="0" borderId="3" xfId="0" applyNumberFormat="1" applyFont="1" applyBorder="1"/>
    <xf numFmtId="0" fontId="2" fillId="0" borderId="0" xfId="0" applyFont="1" applyFill="1"/>
    <xf numFmtId="0" fontId="3" fillId="0" borderId="0" xfId="0" applyFont="1" applyFill="1"/>
    <xf numFmtId="10" fontId="2" fillId="3" borderId="4" xfId="2" applyNumberFormat="1" applyFont="1" applyFill="1" applyBorder="1"/>
    <xf numFmtId="0" fontId="13" fillId="0" borderId="0" xfId="0" applyFont="1"/>
    <xf numFmtId="44" fontId="0" fillId="0" borderId="0" xfId="1" applyFont="1"/>
    <xf numFmtId="0" fontId="3" fillId="2" borderId="14" xfId="0" applyFont="1" applyFill="1" applyBorder="1"/>
    <xf numFmtId="0" fontId="3" fillId="2" borderId="14" xfId="0" applyFont="1" applyFill="1" applyBorder="1" applyAlignment="1">
      <alignment vertical="center"/>
    </xf>
    <xf numFmtId="0" fontId="3" fillId="4" borderId="14" xfId="0" applyFont="1" applyFill="1" applyBorder="1"/>
    <xf numFmtId="0" fontId="2" fillId="0" borderId="10" xfId="0" applyFont="1" applyBorder="1"/>
    <xf numFmtId="0" fontId="3" fillId="2" borderId="16" xfId="0" applyFont="1" applyFill="1" applyBorder="1"/>
    <xf numFmtId="0" fontId="3" fillId="2" borderId="16" xfId="0" applyFont="1" applyFill="1" applyBorder="1" applyAlignment="1">
      <alignment vertical="center"/>
    </xf>
    <xf numFmtId="0" fontId="3" fillId="4" borderId="16" xfId="0" applyFont="1" applyFill="1" applyBorder="1"/>
    <xf numFmtId="169" fontId="0" fillId="0" borderId="0" xfId="0" applyNumberFormat="1"/>
    <xf numFmtId="169" fontId="0" fillId="0" borderId="10" xfId="0" applyNumberFormat="1" applyBorder="1"/>
    <xf numFmtId="3" fontId="0" fillId="0" borderId="9" xfId="3" applyNumberFormat="1" applyFont="1" applyBorder="1"/>
    <xf numFmtId="3" fontId="0" fillId="0" borderId="11" xfId="3" applyNumberFormat="1" applyFont="1" applyBorder="1"/>
    <xf numFmtId="169" fontId="1" fillId="4" borderId="6" xfId="0" applyNumberFormat="1" applyFont="1" applyFill="1" applyBorder="1"/>
    <xf numFmtId="169" fontId="1" fillId="4" borderId="16" xfId="0" applyNumberFormat="1" applyFont="1" applyFill="1" applyBorder="1"/>
    <xf numFmtId="3" fontId="0" fillId="0" borderId="9" xfId="0" applyNumberFormat="1" applyBorder="1"/>
    <xf numFmtId="3" fontId="0" fillId="0" borderId="11" xfId="0" applyNumberFormat="1" applyBorder="1"/>
    <xf numFmtId="3" fontId="1" fillId="4" borderId="14" xfId="0" applyNumberFormat="1" applyFont="1" applyFill="1" applyBorder="1"/>
    <xf numFmtId="166" fontId="3" fillId="0" borderId="18" xfId="0" applyNumberFormat="1" applyFont="1" applyBorder="1"/>
    <xf numFmtId="166" fontId="3" fillId="0" borderId="10" xfId="0" applyNumberFormat="1" applyFont="1" applyBorder="1"/>
    <xf numFmtId="166" fontId="3" fillId="2" borderId="15" xfId="0" applyNumberFormat="1" applyFont="1" applyFill="1" applyBorder="1"/>
    <xf numFmtId="166" fontId="3" fillId="0" borderId="0" xfId="0" applyNumberFormat="1" applyFont="1"/>
    <xf numFmtId="166" fontId="3" fillId="2" borderId="17" xfId="0" applyNumberFormat="1" applyFont="1" applyFill="1" applyBorder="1"/>
    <xf numFmtId="166" fontId="3" fillId="0" borderId="19" xfId="0" applyNumberFormat="1" applyFont="1" applyBorder="1"/>
    <xf numFmtId="166" fontId="3" fillId="0" borderId="17" xfId="0" applyNumberFormat="1" applyFont="1" applyBorder="1"/>
    <xf numFmtId="166" fontId="3" fillId="0" borderId="8" xfId="0" applyNumberFormat="1" applyFont="1" applyBorder="1"/>
    <xf numFmtId="166" fontId="3" fillId="0" borderId="13" xfId="0" applyNumberFormat="1" applyFont="1" applyBorder="1"/>
    <xf numFmtId="166" fontId="3" fillId="3" borderId="15" xfId="0" applyNumberFormat="1" applyFont="1" applyFill="1" applyBorder="1"/>
    <xf numFmtId="171" fontId="7" fillId="0" borderId="1" xfId="4" applyNumberFormat="1" applyFont="1" applyFill="1" applyBorder="1" applyAlignment="1">
      <alignment vertical="top"/>
    </xf>
    <xf numFmtId="165" fontId="1" fillId="0" borderId="1" xfId="0" applyNumberFormat="1" applyFont="1" applyBorder="1"/>
    <xf numFmtId="0" fontId="7" fillId="0" borderId="2" xfId="5" applyFont="1" applyBorder="1" applyAlignment="1">
      <alignment horizontal="left" vertical="top" wrapText="1"/>
    </xf>
    <xf numFmtId="0" fontId="2" fillId="0" borderId="4" xfId="0" applyFont="1" applyBorder="1" applyAlignment="1">
      <alignment wrapText="1"/>
    </xf>
    <xf numFmtId="0" fontId="2" fillId="2" borderId="4" xfId="0" applyFont="1" applyFill="1" applyBorder="1" applyAlignment="1">
      <alignment wrapText="1"/>
    </xf>
    <xf numFmtId="3" fontId="2" fillId="0" borderId="1" xfId="0" applyNumberFormat="1" applyFont="1" applyBorder="1"/>
    <xf numFmtId="3" fontId="2" fillId="2" borderId="1" xfId="0" applyNumberFormat="1" applyFont="1" applyFill="1" applyBorder="1"/>
    <xf numFmtId="0" fontId="2" fillId="0" borderId="1" xfId="0" applyFont="1" applyBorder="1" applyAlignment="1">
      <alignment horizontal="right"/>
    </xf>
    <xf numFmtId="0" fontId="0" fillId="0" borderId="18" xfId="0" applyBorder="1" applyAlignment="1">
      <alignment horizontal="right"/>
    </xf>
    <xf numFmtId="3" fontId="0" fillId="0" borderId="18" xfId="0" applyNumberFormat="1" applyBorder="1"/>
    <xf numFmtId="3" fontId="0" fillId="0" borderId="19" xfId="0" applyNumberFormat="1" applyBorder="1"/>
    <xf numFmtId="0" fontId="7" fillId="0" borderId="0" xfId="0" quotePrefix="1" applyFont="1"/>
    <xf numFmtId="0" fontId="2" fillId="0" borderId="0" xfId="0" quotePrefix="1" applyFont="1"/>
    <xf numFmtId="0" fontId="7" fillId="0" borderId="0" xfId="0" applyFont="1"/>
    <xf numFmtId="0" fontId="0" fillId="0" borderId="0" xfId="0" quotePrefix="1"/>
    <xf numFmtId="0" fontId="2" fillId="0" borderId="0" xfId="0" applyFont="1" applyBorder="1"/>
    <xf numFmtId="0" fontId="0" fillId="0" borderId="0" xfId="0" applyAlignment="1">
      <alignment horizontal="left" wrapText="1"/>
    </xf>
    <xf numFmtId="165" fontId="0" fillId="0" borderId="0" xfId="0" applyNumberFormat="1"/>
    <xf numFmtId="0" fontId="0" fillId="0" borderId="0" xfId="0" applyFill="1"/>
    <xf numFmtId="0" fontId="3" fillId="0" borderId="0" xfId="0" applyFont="1" applyAlignment="1">
      <alignment horizontal="center"/>
    </xf>
    <xf numFmtId="0" fontId="1" fillId="0" borderId="0" xfId="0" applyFont="1" applyBorder="1" applyAlignment="1">
      <alignment horizontal="right"/>
    </xf>
    <xf numFmtId="0" fontId="0" fillId="0" borderId="0" xfId="0" applyBorder="1"/>
    <xf numFmtId="165" fontId="1" fillId="0" borderId="0" xfId="0" applyNumberFormat="1" applyFont="1" applyBorder="1"/>
    <xf numFmtId="0" fontId="0" fillId="0" borderId="0" xfId="0" quotePrefix="1" applyFill="1" applyAlignment="1">
      <alignment vertical="top"/>
    </xf>
    <xf numFmtId="0" fontId="0" fillId="0" borderId="0" xfId="0" quotePrefix="1" applyFill="1" applyAlignment="1">
      <alignment vertical="top" wrapText="1"/>
    </xf>
    <xf numFmtId="0" fontId="0" fillId="0" borderId="0" xfId="0" quotePrefix="1" applyFill="1"/>
    <xf numFmtId="0" fontId="3" fillId="0" borderId="0" xfId="0" applyFont="1" applyAlignment="1">
      <alignment horizontal="right"/>
    </xf>
    <xf numFmtId="0" fontId="1" fillId="0" borderId="0" xfId="0" applyFont="1" applyAlignment="1">
      <alignment horizontal="right"/>
    </xf>
    <xf numFmtId="0" fontId="3" fillId="0" borderId="26" xfId="0" applyFont="1" applyBorder="1" applyAlignment="1">
      <alignment horizontal="center" vertical="top"/>
    </xf>
    <xf numFmtId="0" fontId="3" fillId="0" borderId="27" xfId="0" applyFont="1" applyBorder="1" applyAlignment="1">
      <alignment horizontal="center" vertical="top"/>
    </xf>
    <xf numFmtId="0" fontId="3" fillId="0" borderId="28" xfId="0" applyFont="1" applyBorder="1" applyAlignment="1">
      <alignment horizontal="center" vertical="top"/>
    </xf>
    <xf numFmtId="0" fontId="2" fillId="0" borderId="1" xfId="0" applyFont="1" applyBorder="1" applyAlignment="1">
      <alignment horizontal="left" vertical="top" wrapText="1"/>
    </xf>
    <xf numFmtId="165" fontId="2" fillId="0" borderId="1" xfId="0" applyNumberFormat="1" applyFont="1" applyBorder="1" applyAlignment="1">
      <alignment horizontal="center" vertical="top"/>
    </xf>
    <xf numFmtId="0" fontId="2" fillId="0" borderId="1" xfId="0" applyFont="1" applyBorder="1" applyAlignment="1">
      <alignment horizontal="center" vertical="top"/>
    </xf>
    <xf numFmtId="14" fontId="2" fillId="0" borderId="1" xfId="0" applyNumberFormat="1" applyFont="1" applyBorder="1" applyAlignment="1">
      <alignment horizontal="center" vertical="top"/>
    </xf>
    <xf numFmtId="0" fontId="2" fillId="0" borderId="1" xfId="0" applyFont="1" applyBorder="1" applyAlignment="1">
      <alignment vertical="top" wrapText="1"/>
    </xf>
    <xf numFmtId="0" fontId="3" fillId="0" borderId="1" xfId="0" applyFont="1" applyFill="1" applyBorder="1" applyAlignment="1">
      <alignment horizontal="left"/>
    </xf>
    <xf numFmtId="0" fontId="2" fillId="0" borderId="1" xfId="0" applyFont="1" applyFill="1" applyBorder="1" applyAlignment="1">
      <alignment horizontal="center"/>
    </xf>
    <xf numFmtId="170" fontId="2" fillId="0" borderId="1" xfId="0" applyNumberFormat="1" applyFont="1" applyFill="1" applyBorder="1" applyAlignment="1">
      <alignment horizontal="center"/>
    </xf>
    <xf numFmtId="2" fontId="2" fillId="0" borderId="1" xfId="0" applyNumberFormat="1" applyFont="1" applyFill="1" applyBorder="1" applyAlignment="1">
      <alignment horizontal="center"/>
    </xf>
    <xf numFmtId="167" fontId="2" fillId="0" borderId="1" xfId="0" applyNumberFormat="1" applyFont="1" applyFill="1" applyBorder="1" applyAlignment="1">
      <alignment horizontal="center"/>
    </xf>
    <xf numFmtId="168" fontId="2" fillId="0" borderId="1" xfId="0" applyNumberFormat="1" applyFont="1" applyFill="1" applyBorder="1" applyAlignment="1">
      <alignment horizontal="center"/>
    </xf>
    <xf numFmtId="14" fontId="2" fillId="0" borderId="1" xfId="0" applyNumberFormat="1" applyFont="1" applyFill="1" applyBorder="1" applyAlignment="1">
      <alignment horizontal="center"/>
    </xf>
    <xf numFmtId="0" fontId="0" fillId="0" borderId="0" xfId="0" applyAlignment="1">
      <alignment wrapText="1"/>
    </xf>
    <xf numFmtId="165" fontId="2" fillId="0" borderId="0" xfId="0" applyNumberFormat="1" applyFont="1" applyFill="1"/>
    <xf numFmtId="165" fontId="0" fillId="0" borderId="0" xfId="0" applyNumberFormat="1" applyFill="1"/>
    <xf numFmtId="0" fontId="3" fillId="2" borderId="29" xfId="0" applyFont="1" applyFill="1" applyBorder="1"/>
    <xf numFmtId="166" fontId="3" fillId="2" borderId="29" xfId="0" applyNumberFormat="1" applyFont="1" applyFill="1" applyBorder="1"/>
    <xf numFmtId="6" fontId="2" fillId="3" borderId="3" xfId="0" applyNumberFormat="1" applyFont="1" applyFill="1" applyBorder="1"/>
    <xf numFmtId="6" fontId="2" fillId="2" borderId="3" xfId="0" applyNumberFormat="1" applyFont="1" applyFill="1" applyBorder="1"/>
    <xf numFmtId="6" fontId="2" fillId="0" borderId="0" xfId="0" applyNumberFormat="1" applyFont="1" applyBorder="1"/>
    <xf numFmtId="6" fontId="2" fillId="2" borderId="0" xfId="0" applyNumberFormat="1" applyFont="1" applyFill="1" applyBorder="1"/>
    <xf numFmtId="6" fontId="7" fillId="0" borderId="5" xfId="0" applyNumberFormat="1" applyFont="1" applyBorder="1"/>
    <xf numFmtId="6" fontId="7" fillId="0" borderId="12" xfId="0" applyNumberFormat="1" applyFont="1" applyBorder="1"/>
    <xf numFmtId="169" fontId="0" fillId="0" borderId="0" xfId="0" applyNumberFormat="1" applyFill="1"/>
    <xf numFmtId="169" fontId="0" fillId="0" borderId="10" xfId="0" applyNumberFormat="1" applyFill="1" applyBorder="1"/>
    <xf numFmtId="3" fontId="0" fillId="0" borderId="0" xfId="0" applyNumberFormat="1"/>
    <xf numFmtId="3" fontId="1" fillId="2" borderId="14" xfId="0" applyNumberFormat="1" applyFont="1" applyFill="1" applyBorder="1"/>
    <xf numFmtId="169" fontId="1" fillId="2" borderId="6" xfId="0" applyNumberFormat="1" applyFont="1" applyFill="1" applyBorder="1"/>
    <xf numFmtId="169" fontId="1" fillId="2" borderId="16" xfId="0" applyNumberFormat="1" applyFont="1" applyFill="1" applyBorder="1"/>
    <xf numFmtId="6" fontId="2" fillId="0" borderId="0" xfId="0" applyNumberFormat="1" applyFont="1" applyFill="1"/>
    <xf numFmtId="169" fontId="2" fillId="0" borderId="2" xfId="0" applyNumberFormat="1" applyFont="1" applyBorder="1" applyAlignment="1">
      <alignment horizontal="left"/>
    </xf>
    <xf numFmtId="169" fontId="2" fillId="0" borderId="3" xfId="0" applyNumberFormat="1" applyFont="1" applyBorder="1" applyAlignment="1">
      <alignment horizontal="left"/>
    </xf>
    <xf numFmtId="169" fontId="2" fillId="2" borderId="2" xfId="0" applyNumberFormat="1" applyFont="1" applyFill="1" applyBorder="1" applyAlignment="1">
      <alignment horizontal="left"/>
    </xf>
    <xf numFmtId="169" fontId="2" fillId="2" borderId="3" xfId="0" applyNumberFormat="1" applyFont="1" applyFill="1" applyBorder="1" applyAlignment="1">
      <alignment horizontal="left"/>
    </xf>
    <xf numFmtId="0" fontId="3" fillId="0" borderId="7" xfId="0" applyFont="1" applyBorder="1" applyAlignment="1">
      <alignment horizontal="right"/>
    </xf>
    <xf numFmtId="0" fontId="3" fillId="0" borderId="5" xfId="0" applyFont="1" applyBorder="1" applyAlignment="1">
      <alignment horizontal="right"/>
    </xf>
    <xf numFmtId="0" fontId="3" fillId="0" borderId="8" xfId="0" applyFont="1" applyBorder="1" applyAlignment="1">
      <alignment horizontal="right"/>
    </xf>
    <xf numFmtId="0" fontId="5" fillId="0" borderId="0" xfId="0" applyFont="1" applyFill="1"/>
    <xf numFmtId="6" fontId="7" fillId="0" borderId="0" xfId="0" applyNumberFormat="1" applyFont="1" applyFill="1"/>
    <xf numFmtId="165" fontId="7" fillId="0" borderId="0" xfId="0" applyNumberFormat="1" applyFont="1"/>
    <xf numFmtId="0" fontId="14" fillId="0" borderId="1" xfId="5" applyFont="1" applyFill="1" applyBorder="1" applyAlignment="1">
      <alignment wrapText="1"/>
    </xf>
    <xf numFmtId="0" fontId="7" fillId="0" borderId="1" xfId="5" applyFont="1" applyFill="1" applyBorder="1" applyAlignment="1">
      <alignment horizontal="center" vertical="center"/>
    </xf>
    <xf numFmtId="170" fontId="7" fillId="0" borderId="1" xfId="5" applyNumberFormat="1" applyFont="1" applyFill="1" applyBorder="1" applyAlignment="1">
      <alignment horizontal="center" vertical="center"/>
    </xf>
    <xf numFmtId="2" fontId="7" fillId="0" borderId="1" xfId="5" applyNumberFormat="1" applyFont="1" applyFill="1" applyBorder="1" applyAlignment="1">
      <alignment horizontal="center" vertical="center" wrapText="1"/>
    </xf>
    <xf numFmtId="0" fontId="7" fillId="0" borderId="1" xfId="5" applyFont="1" applyFill="1" applyBorder="1" applyAlignment="1">
      <alignment horizontal="center" vertical="center" wrapText="1"/>
    </xf>
    <xf numFmtId="168" fontId="7" fillId="0" borderId="1" xfId="5" applyNumberFormat="1" applyFont="1" applyFill="1" applyBorder="1" applyAlignment="1">
      <alignment horizontal="center" vertical="center" wrapText="1"/>
    </xf>
    <xf numFmtId="0" fontId="0" fillId="0" borderId="0" xfId="0" applyAlignment="1">
      <alignment horizontal="left" wrapText="1"/>
    </xf>
    <xf numFmtId="0" fontId="3" fillId="0" borderId="0" xfId="0" applyFont="1" applyAlignment="1">
      <alignment horizontal="center" wrapText="1"/>
    </xf>
    <xf numFmtId="0" fontId="3" fillId="0" borderId="0" xfId="0" applyFont="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2" fillId="0" borderId="0" xfId="0" applyFont="1" applyAlignment="1">
      <alignment horizontal="left" wrapText="1"/>
    </xf>
    <xf numFmtId="0" fontId="2" fillId="0" borderId="9" xfId="0" applyFont="1" applyBorder="1" applyAlignment="1">
      <alignment horizontal="center" wrapText="1"/>
    </xf>
    <xf numFmtId="0" fontId="0" fillId="0" borderId="0" xfId="0" quotePrefix="1" applyAlignment="1">
      <alignment horizontal="left"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2" borderId="7" xfId="0" applyFont="1" applyFill="1" applyBorder="1" applyAlignment="1">
      <alignment horizontal="center" wrapText="1"/>
    </xf>
    <xf numFmtId="0" fontId="3" fillId="2" borderId="9" xfId="0" applyFont="1" applyFill="1" applyBorder="1" applyAlignment="1">
      <alignment horizontal="center" wrapText="1"/>
    </xf>
    <xf numFmtId="0" fontId="3" fillId="2" borderId="5" xfId="0" applyFont="1" applyFill="1" applyBorder="1" applyAlignment="1">
      <alignment horizontal="center" wrapText="1"/>
    </xf>
    <xf numFmtId="0" fontId="3" fillId="2" borderId="0" xfId="0" applyFont="1" applyFill="1" applyAlignment="1">
      <alignment horizontal="center" wrapText="1"/>
    </xf>
    <xf numFmtId="0" fontId="3" fillId="2" borderId="8" xfId="0" applyFont="1" applyFill="1" applyBorder="1" applyAlignment="1">
      <alignment horizontal="center" wrapText="1"/>
    </xf>
    <xf numFmtId="0" fontId="3" fillId="2" borderId="10" xfId="0" applyFont="1" applyFill="1" applyBorder="1" applyAlignment="1">
      <alignment horizont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3" fillId="2" borderId="17" xfId="0" applyFont="1" applyFill="1" applyBorder="1" applyAlignment="1">
      <alignment horizontal="center" wrapText="1"/>
    </xf>
    <xf numFmtId="0" fontId="3" fillId="2" borderId="18" xfId="0" applyFont="1" applyFill="1" applyBorder="1" applyAlignment="1">
      <alignment horizontal="center" wrapText="1"/>
    </xf>
    <xf numFmtId="0" fontId="1" fillId="0" borderId="0" xfId="0" applyFont="1" applyAlignment="1">
      <alignment horizontal="center" wrapText="1"/>
    </xf>
    <xf numFmtId="0" fontId="3" fillId="0" borderId="7" xfId="0" applyFont="1" applyBorder="1" applyAlignment="1">
      <alignment horizontal="center" wrapText="1"/>
    </xf>
    <xf numFmtId="0" fontId="3" fillId="0" borderId="11" xfId="0" applyFont="1" applyBorder="1" applyAlignment="1">
      <alignment horizontal="center" wrapText="1"/>
    </xf>
    <xf numFmtId="0" fontId="3" fillId="0" borderId="8" xfId="0" applyFont="1" applyBorder="1" applyAlignment="1">
      <alignment horizontal="center" wrapText="1"/>
    </xf>
    <xf numFmtId="0" fontId="3" fillId="0" borderId="13" xfId="0" applyFont="1" applyBorder="1" applyAlignment="1">
      <alignment horizontal="center" wrapText="1"/>
    </xf>
    <xf numFmtId="0" fontId="3" fillId="0" borderId="19" xfId="0" applyFont="1" applyBorder="1" applyAlignment="1">
      <alignment horizontal="center" wrapText="1"/>
    </xf>
    <xf numFmtId="3" fontId="0" fillId="6" borderId="9" xfId="3" applyNumberFormat="1" applyFont="1" applyFill="1" applyBorder="1"/>
    <xf numFmtId="169" fontId="0" fillId="6" borderId="0" xfId="0" applyNumberFormat="1" applyFill="1"/>
    <xf numFmtId="169" fontId="0" fillId="6" borderId="10" xfId="0" applyNumberFormat="1" applyFill="1" applyBorder="1"/>
    <xf numFmtId="3" fontId="0" fillId="6" borderId="0" xfId="0" applyNumberFormat="1" applyFill="1"/>
    <xf numFmtId="3" fontId="1" fillId="6" borderId="14" xfId="3" applyNumberFormat="1" applyFont="1" applyFill="1" applyBorder="1"/>
    <xf numFmtId="169" fontId="1" fillId="6" borderId="6" xfId="0" applyNumberFormat="1" applyFont="1" applyFill="1" applyBorder="1"/>
    <xf numFmtId="169" fontId="1" fillId="6" borderId="16" xfId="0" applyNumberFormat="1" applyFont="1" applyFill="1" applyBorder="1"/>
    <xf numFmtId="3" fontId="1" fillId="6" borderId="14" xfId="0" applyNumberFormat="1" applyFont="1" applyFill="1" applyBorder="1"/>
    <xf numFmtId="3" fontId="0" fillId="6" borderId="9" xfId="0" applyNumberFormat="1" applyFill="1" applyBorder="1"/>
    <xf numFmtId="2" fontId="2" fillId="6" borderId="1" xfId="0" applyNumberFormat="1" applyFont="1" applyFill="1" applyBorder="1" applyAlignment="1">
      <alignment horizontal="center"/>
    </xf>
    <xf numFmtId="0" fontId="3" fillId="0" borderId="9" xfId="0" applyFont="1" applyBorder="1" applyAlignment="1">
      <alignment horizontal="right"/>
    </xf>
    <xf numFmtId="0" fontId="3" fillId="0" borderId="10" xfId="0" applyFont="1" applyBorder="1" applyAlignment="1">
      <alignment horizontal="right"/>
    </xf>
  </cellXfs>
  <cellStyles count="6">
    <cellStyle name="Comma" xfId="3" builtinId="3"/>
    <cellStyle name="Currency" xfId="1" builtinId="4"/>
    <cellStyle name="Currency 10 2 2 2" xfId="4" xr:uid="{A0D222F9-B311-448A-B385-546007CB6B00}"/>
    <cellStyle name="Normal" xfId="0" builtinId="0"/>
    <cellStyle name="Normal 2" xfId="5" xr:uid="{7FA2A23E-60F0-45C6-B510-4F3D3162B556}"/>
    <cellStyle name="Percent" xfId="2" builtinId="5"/>
  </cellStyles>
  <dxfs count="1">
    <dxf>
      <font>
        <strike val="0"/>
        <outline val="0"/>
        <shadow val="0"/>
        <u val="none"/>
        <vertAlign val="baseline"/>
        <sz val="10"/>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isonintl.sharepoint.com/sites/SCEILPDRPMonthlyReports/Shared%20Documents/2022/12%20December%202022/SCE%20ILP%20and%20DRP%20Report%20for%20December%202022_Final_Confident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Names"/>
      <sheetName val="Program Ex Ante &amp; Ex Post MWs"/>
      <sheetName val="Load Impacts (ExPost &amp; ExAnte)"/>
      <sheetName val="Auto DR Current Cycle"/>
      <sheetName val="Auto DR Carryover Cycles"/>
      <sheetName val="2022 DRP Expenditures"/>
      <sheetName val="DRP Carryover Expenditures"/>
      <sheetName val="Incentives"/>
      <sheetName val="Fund Shift Log"/>
      <sheetName val="Marketing Monthly"/>
      <sheetName val="Marketing Quarterly"/>
      <sheetName val="Event Summary"/>
    </sheetNames>
    <sheetDataSet>
      <sheetData sheetId="0">
        <row r="2">
          <cell r="A2" t="str">
            <v>Agricultural &amp; Pumping Interruptible (API)</v>
          </cell>
        </row>
        <row r="3">
          <cell r="A3" t="str">
            <v>Agricultural &amp; Pumping Interruptible (API) Incentives</v>
          </cell>
        </row>
        <row r="4">
          <cell r="A4" t="str">
            <v>Base Interruptible Program (BIP) 15 Minute Option</v>
          </cell>
        </row>
        <row r="5">
          <cell r="A5" t="str">
            <v>Base Interruptible Program (BIP) 30 Minute Option</v>
          </cell>
        </row>
        <row r="6">
          <cell r="A6" t="str">
            <v>Base Interruptible Program (BIP)</v>
          </cell>
        </row>
        <row r="7">
          <cell r="A7" t="str">
            <v>Base Interruptible Program (BIP) Incentives</v>
          </cell>
        </row>
        <row r="8">
          <cell r="A8" t="str">
            <v>Capacity Bidding Program (CBP) Day Ahead</v>
          </cell>
        </row>
        <row r="9">
          <cell r="A9" t="str">
            <v>Capacity Bidding Program (CBP) Day Of</v>
          </cell>
        </row>
        <row r="10">
          <cell r="A10" t="str">
            <v>Capacity Bidding Program (CBP)</v>
          </cell>
        </row>
        <row r="11">
          <cell r="A11" t="str">
            <v>Capacity Bidding Program (CBP) Incentives</v>
          </cell>
        </row>
        <row r="12">
          <cell r="A12" t="str">
            <v>CBP Residential Pilot</v>
          </cell>
        </row>
        <row r="13">
          <cell r="A13" t="str">
            <v>Charge Ready Pilot</v>
          </cell>
        </row>
        <row r="15">
          <cell r="A15" t="str">
            <v>Constrained Local Capacity Planning Areas &amp; Disadvantaged Communities Pilot</v>
          </cell>
        </row>
        <row r="16">
          <cell r="A16" t="str">
            <v>Constrained Local Capacity Planning Areas &amp; Disadvantaged Communities Pilot Incentives</v>
          </cell>
        </row>
        <row r="17">
          <cell r="A17" t="str">
            <v>Critical Peak Pricing (CPP)</v>
          </cell>
        </row>
        <row r="18">
          <cell r="A18" t="str">
            <v>Critical Peak Pricing - Small 0 to 20 kW</v>
          </cell>
        </row>
        <row r="19">
          <cell r="A19" t="str">
            <v>Critical Peak Pricing - Med 20 to 199.99 kW</v>
          </cell>
        </row>
        <row r="20">
          <cell r="A20" t="str">
            <v>Critical Peak Pricing - Large 20 kW and Above</v>
          </cell>
        </row>
        <row r="21">
          <cell r="A21" t="str">
            <v>Demand Bidding Program (DBP)</v>
          </cell>
        </row>
        <row r="22">
          <cell r="A22" t="str">
            <v>Demand Response Auction Mechanism (DRAM)</v>
          </cell>
        </row>
        <row r="23">
          <cell r="A23" t="str">
            <v>DR Potential Study</v>
          </cell>
        </row>
        <row r="24">
          <cell r="A24" t="str">
            <v>DR Rule 24</v>
          </cell>
        </row>
        <row r="25">
          <cell r="A25" t="str">
            <v>DR Systems &amp; Technology Support</v>
          </cell>
        </row>
        <row r="26">
          <cell r="A26" t="str">
            <v>Emergency Load Reduction Program (ELRP)</v>
          </cell>
        </row>
        <row r="28">
          <cell r="A28" t="str">
            <v>Emerging Markets and Technology</v>
          </cell>
        </row>
        <row r="29">
          <cell r="A29" t="str">
            <v>Evaluation, Measurement &amp; Verification (EM&amp;V)</v>
          </cell>
        </row>
        <row r="30">
          <cell r="A30" t="str">
            <v>IDSM Non Residential</v>
          </cell>
        </row>
        <row r="31">
          <cell r="A31" t="str">
            <v>IDSM Residential</v>
          </cell>
        </row>
        <row r="32">
          <cell r="A32" t="str">
            <v>Other Local Marketing</v>
          </cell>
        </row>
        <row r="33">
          <cell r="A33" t="str">
            <v>Optional Binding Mandatory Curtailment (OBMC)</v>
          </cell>
        </row>
        <row r="34">
          <cell r="A34" t="str">
            <v>Real Time Pricing (RTP)</v>
          </cell>
        </row>
        <row r="35">
          <cell r="A35" t="str">
            <v>Rotating Outages</v>
          </cell>
        </row>
        <row r="36">
          <cell r="A36" t="str">
            <v>Scheduled Load Reduction Program (SLRP)</v>
          </cell>
        </row>
        <row r="37">
          <cell r="A37" t="str">
            <v>Smart Communicating Thermostat Program (SCT)</v>
          </cell>
        </row>
        <row r="38">
          <cell r="A38" t="str">
            <v>Smart Energy Program (SEP)</v>
          </cell>
        </row>
        <row r="39">
          <cell r="A39" t="str">
            <v>Smart Energy Program Incentives</v>
          </cell>
        </row>
        <row r="40">
          <cell r="A40" t="str">
            <v>Statewide ME&amp;O</v>
          </cell>
        </row>
        <row r="41">
          <cell r="A41" t="str">
            <v>Summer Discount Plan Program (SDP) - Commercial</v>
          </cell>
        </row>
        <row r="42">
          <cell r="A42" t="str">
            <v>Summer Discount Plan Program (SDP) - Residential</v>
          </cell>
        </row>
        <row r="43">
          <cell r="A43" t="str">
            <v>Summer Discount Plan Program (SDP)</v>
          </cell>
        </row>
        <row r="44">
          <cell r="A44" t="str">
            <v>Summer Discount Plan Program (SDP) Incentives</v>
          </cell>
        </row>
        <row r="45">
          <cell r="A45" t="str">
            <v>Technology Incentive Program (AutoDR-TI)</v>
          </cell>
        </row>
      </sheetData>
      <sheetData sheetId="1"/>
      <sheetData sheetId="2">
        <row r="6">
          <cell r="D6" t="str">
            <v>January</v>
          </cell>
          <cell r="E6" t="str">
            <v>February</v>
          </cell>
          <cell r="F6" t="str">
            <v>March</v>
          </cell>
          <cell r="G6" t="str">
            <v>April</v>
          </cell>
          <cell r="H6" t="str">
            <v>May</v>
          </cell>
          <cell r="I6" t="str">
            <v>June</v>
          </cell>
          <cell r="J6" t="str">
            <v>July</v>
          </cell>
          <cell r="K6" t="str">
            <v>August</v>
          </cell>
          <cell r="L6" t="str">
            <v>September</v>
          </cell>
          <cell r="M6" t="str">
            <v>October</v>
          </cell>
          <cell r="N6" t="str">
            <v>November</v>
          </cell>
          <cell r="O6" t="str">
            <v>December</v>
          </cell>
        </row>
        <row r="8">
          <cell r="B8" t="str">
            <v>Agricultural &amp; Pumping Interruptible (API)</v>
          </cell>
          <cell r="D8">
            <v>23.743254995346071</v>
          </cell>
          <cell r="E8">
            <v>23.743254995346071</v>
          </cell>
          <cell r="F8">
            <v>23.743254995346071</v>
          </cell>
          <cell r="G8">
            <v>29.840860199226608</v>
          </cell>
          <cell r="H8">
            <v>29.840860199226608</v>
          </cell>
          <cell r="I8">
            <v>29.840860199226608</v>
          </cell>
          <cell r="J8">
            <v>29.840860199226608</v>
          </cell>
          <cell r="K8">
            <v>29.840860199226608</v>
          </cell>
          <cell r="L8">
            <v>29.840860199226608</v>
          </cell>
          <cell r="M8">
            <v>29.840860199226608</v>
          </cell>
          <cell r="N8">
            <v>29.840860199226608</v>
          </cell>
          <cell r="O8">
            <v>29.840860199226608</v>
          </cell>
        </row>
        <row r="9">
          <cell r="B9" t="str">
            <v>Base Interruptible Program (BIP) 15 Minute Option</v>
          </cell>
          <cell r="D9">
            <v>3750.0886274509808</v>
          </cell>
          <cell r="E9">
            <v>3750.0886274509808</v>
          </cell>
          <cell r="F9">
            <v>3750.0886274509808</v>
          </cell>
          <cell r="G9">
            <v>3135.4116666749997</v>
          </cell>
          <cell r="H9">
            <v>3135.4116666749997</v>
          </cell>
          <cell r="I9">
            <v>3135.4116666749997</v>
          </cell>
          <cell r="J9">
            <v>3135.4116666749997</v>
          </cell>
          <cell r="K9">
            <v>3135.4116666749997</v>
          </cell>
          <cell r="L9">
            <v>3135.4116666749997</v>
          </cell>
          <cell r="M9">
            <v>3135.4116666749997</v>
          </cell>
          <cell r="N9">
            <v>3135.4116666749997</v>
          </cell>
          <cell r="O9">
            <v>3135.4116666749997</v>
          </cell>
        </row>
        <row r="10">
          <cell r="B10" t="str">
            <v>Base Interruptible Program (BIP) 30 Minute Option</v>
          </cell>
          <cell r="D10">
            <v>699.75269035532995</v>
          </cell>
          <cell r="E10">
            <v>699.75269035532995</v>
          </cell>
          <cell r="F10">
            <v>699.75269035532995</v>
          </cell>
          <cell r="G10">
            <v>632.43180463576164</v>
          </cell>
          <cell r="H10">
            <v>632.43180463576164</v>
          </cell>
          <cell r="I10">
            <v>632.43180463576164</v>
          </cell>
          <cell r="J10">
            <v>632.43180463576164</v>
          </cell>
          <cell r="K10">
            <v>632.43180463576164</v>
          </cell>
          <cell r="L10">
            <v>632.43180463576164</v>
          </cell>
          <cell r="M10">
            <v>632.43180463576164</v>
          </cell>
          <cell r="N10">
            <v>632.43180463576164</v>
          </cell>
          <cell r="O10">
            <v>632.43180463576164</v>
          </cell>
        </row>
        <row r="11">
          <cell r="B11" t="str">
            <v>Capacity Bidding Program (CBP) Day Ahead</v>
          </cell>
          <cell r="D11">
            <v>282.58725866666663</v>
          </cell>
          <cell r="E11">
            <v>282.58725866666663</v>
          </cell>
          <cell r="F11">
            <v>282.58725866666663</v>
          </cell>
          <cell r="G11">
            <v>37.370007400000006</v>
          </cell>
          <cell r="H11">
            <v>7.4454668000000002</v>
          </cell>
          <cell r="I11">
            <v>7.4454668000000002</v>
          </cell>
          <cell r="J11">
            <v>7.4454668000000002</v>
          </cell>
          <cell r="K11">
            <v>7.4454668000000002</v>
          </cell>
          <cell r="L11">
            <v>7.4454668000000002</v>
          </cell>
          <cell r="M11">
            <v>7.4454668000000002</v>
          </cell>
          <cell r="N11">
            <v>37.370007400000006</v>
          </cell>
          <cell r="O11">
            <v>37.370007400000006</v>
          </cell>
        </row>
        <row r="12">
          <cell r="B12" t="str">
            <v>Capacity Bidding Program (CBP) Day Of</v>
          </cell>
          <cell r="D12">
            <v>-8.6657098461538453</v>
          </cell>
          <cell r="E12">
            <v>-8.6657098461538453</v>
          </cell>
          <cell r="F12">
            <v>-8.6657098461538453</v>
          </cell>
          <cell r="G12">
            <v>6.415321399999999</v>
          </cell>
          <cell r="H12">
            <v>5.2177673999999996</v>
          </cell>
          <cell r="I12">
            <v>5.2177673999999996</v>
          </cell>
          <cell r="J12">
            <v>5.2177673999999996</v>
          </cell>
          <cell r="K12">
            <v>5.2177673999999996</v>
          </cell>
          <cell r="L12">
            <v>5.2177673999999996</v>
          </cell>
          <cell r="M12">
            <v>5.2177673999999996</v>
          </cell>
          <cell r="N12">
            <v>6.415321399999999</v>
          </cell>
          <cell r="O12">
            <v>6.415321399999999</v>
          </cell>
        </row>
        <row r="13">
          <cell r="B13" t="str">
            <v>Smart Energy Program (SEP)</v>
          </cell>
          <cell r="D13">
            <v>0.45869883894920349</v>
          </cell>
          <cell r="E13">
            <v>0.45869883894920349</v>
          </cell>
          <cell r="F13">
            <v>0.45869883894920349</v>
          </cell>
          <cell r="G13">
            <v>0.72610169649124146</v>
          </cell>
          <cell r="H13">
            <v>0.72610169649124146</v>
          </cell>
          <cell r="I13">
            <v>0.72610169649124146</v>
          </cell>
          <cell r="J13">
            <v>0.72610169649124146</v>
          </cell>
          <cell r="K13">
            <v>0.72610169649124146</v>
          </cell>
          <cell r="L13">
            <v>0.72610169649124146</v>
          </cell>
          <cell r="M13">
            <v>0.72610169649124146</v>
          </cell>
          <cell r="N13">
            <v>0.72610169649124146</v>
          </cell>
          <cell r="O13">
            <v>0.72610169649124146</v>
          </cell>
        </row>
        <row r="14">
          <cell r="B14" t="str">
            <v>Summer Discount Plan Program (SDP) - Commercial</v>
          </cell>
          <cell r="D14">
            <v>1.8112860333333334</v>
          </cell>
          <cell r="E14">
            <v>1.8112860333333334</v>
          </cell>
          <cell r="F14">
            <v>1.8112860333333334</v>
          </cell>
          <cell r="G14">
            <v>1.9993953704833984</v>
          </cell>
          <cell r="H14">
            <v>1.9993953704833984</v>
          </cell>
          <cell r="I14">
            <v>1.9993953704833984</v>
          </cell>
          <cell r="J14">
            <v>1.9993953704833984</v>
          </cell>
          <cell r="K14">
            <v>1.9993953704833984</v>
          </cell>
          <cell r="L14">
            <v>1.9993953704833984</v>
          </cell>
          <cell r="M14">
            <v>1.9993953704833984</v>
          </cell>
          <cell r="N14">
            <v>1.9993953704833984</v>
          </cell>
          <cell r="O14">
            <v>1.9993953704833984</v>
          </cell>
        </row>
        <row r="15">
          <cell r="B15" t="str">
            <v>Summer Discount Plan Program (SDP) - Residential</v>
          </cell>
          <cell r="D15">
            <v>1.1094608533333334</v>
          </cell>
          <cell r="E15">
            <v>1.1094608533333334</v>
          </cell>
          <cell r="F15">
            <v>1.1094608533333334</v>
          </cell>
          <cell r="G15">
            <v>0.75923669338226318</v>
          </cell>
          <cell r="H15">
            <v>0.75923669338226318</v>
          </cell>
          <cell r="I15">
            <v>0.75923669338226318</v>
          </cell>
          <cell r="J15">
            <v>0.75923669338226318</v>
          </cell>
          <cell r="K15">
            <v>0.75923669338226318</v>
          </cell>
          <cell r="L15">
            <v>0.75923669338226318</v>
          </cell>
          <cell r="M15">
            <v>0.75923669338226318</v>
          </cell>
          <cell r="N15">
            <v>0.75923669338226318</v>
          </cell>
          <cell r="O15">
            <v>0.75923669338226318</v>
          </cell>
        </row>
        <row r="16">
          <cell r="B16" t="str">
            <v>Load Modifying Demand Response Programs</v>
          </cell>
          <cell r="D16"/>
          <cell r="E16"/>
          <cell r="F16"/>
          <cell r="G16"/>
          <cell r="H16"/>
          <cell r="I16"/>
          <cell r="J16"/>
          <cell r="K16"/>
          <cell r="L16"/>
          <cell r="M16"/>
          <cell r="N16"/>
          <cell r="O16"/>
        </row>
        <row r="17">
          <cell r="B17" t="str">
            <v>Critical Peak Pricing - Small 0 to 20 kW</v>
          </cell>
          <cell r="D17">
            <v>3.7047999999999998E-3</v>
          </cell>
          <cell r="E17">
            <v>3.7047999999999998E-3</v>
          </cell>
          <cell r="F17">
            <v>3.7047999999999998E-3</v>
          </cell>
          <cell r="G17">
            <v>3.4194000000000004E-3</v>
          </cell>
          <cell r="H17">
            <v>3.4194000000000004E-3</v>
          </cell>
          <cell r="I17">
            <v>3.4194000000000004E-3</v>
          </cell>
          <cell r="J17">
            <v>3.4194000000000004E-3</v>
          </cell>
          <cell r="K17">
            <v>3.4194000000000004E-3</v>
          </cell>
          <cell r="L17">
            <v>3.4194000000000004E-3</v>
          </cell>
          <cell r="M17">
            <v>3.4194000000000004E-3</v>
          </cell>
          <cell r="N17">
            <v>3.4194000000000004E-3</v>
          </cell>
          <cell r="O17">
            <v>3.4194000000000004E-3</v>
          </cell>
        </row>
        <row r="18">
          <cell r="B18" t="str">
            <v>Critical Peak Pricing - Med 20 to 199.99 kW</v>
          </cell>
          <cell r="D18">
            <v>0.11438440000000001</v>
          </cell>
          <cell r="E18">
            <v>0.11438440000000001</v>
          </cell>
          <cell r="F18">
            <v>0.11438440000000001</v>
          </cell>
          <cell r="G18">
            <v>0.16774639999999999</v>
          </cell>
          <cell r="H18">
            <v>0.16774639999999999</v>
          </cell>
          <cell r="I18">
            <v>0.16774639999999999</v>
          </cell>
          <cell r="J18">
            <v>0.16774639999999999</v>
          </cell>
          <cell r="K18">
            <v>0.16774639999999999</v>
          </cell>
          <cell r="L18">
            <v>0.16774639999999999</v>
          </cell>
          <cell r="M18">
            <v>0.16774639999999999</v>
          </cell>
          <cell r="N18">
            <v>0.16774639999999999</v>
          </cell>
          <cell r="O18">
            <v>0.16774639999999999</v>
          </cell>
        </row>
        <row r="19">
          <cell r="B19" t="str">
            <v>Critical Peak Pricing - Large 20 kW and Above</v>
          </cell>
          <cell r="D19">
            <v>4.3884609999999995</v>
          </cell>
          <cell r="E19">
            <v>4.3884609999999995</v>
          </cell>
          <cell r="F19">
            <v>4.3884609999999995</v>
          </cell>
          <cell r="G19">
            <v>5.7124948</v>
          </cell>
          <cell r="H19">
            <v>5.7124948</v>
          </cell>
          <cell r="I19">
            <v>5.7124948</v>
          </cell>
          <cell r="J19">
            <v>5.7124948</v>
          </cell>
          <cell r="K19">
            <v>5.7124948</v>
          </cell>
          <cell r="L19">
            <v>5.7124948</v>
          </cell>
          <cell r="M19">
            <v>5.7124948</v>
          </cell>
          <cell r="N19">
            <v>5.7124948</v>
          </cell>
          <cell r="O19">
            <v>5.7124948</v>
          </cell>
        </row>
        <row r="20">
          <cell r="B20" t="str">
            <v>Optional Binding Mandatory Curtailment (OBMC)</v>
          </cell>
          <cell r="D20">
            <v>1517</v>
          </cell>
          <cell r="E20">
            <v>1517</v>
          </cell>
          <cell r="F20">
            <v>1517</v>
          </cell>
          <cell r="G20">
            <v>1517</v>
          </cell>
          <cell r="H20">
            <v>1517</v>
          </cell>
          <cell r="I20">
            <v>1517</v>
          </cell>
          <cell r="J20">
            <v>1517</v>
          </cell>
          <cell r="K20">
            <v>1517</v>
          </cell>
          <cell r="L20">
            <v>1517</v>
          </cell>
          <cell r="M20">
            <v>1517</v>
          </cell>
          <cell r="N20">
            <v>1517</v>
          </cell>
          <cell r="O20">
            <v>1517</v>
          </cell>
        </row>
        <row r="21">
          <cell r="B21" t="str">
            <v>Real Time Pricing (RTP)</v>
          </cell>
          <cell r="D21">
            <v>0</v>
          </cell>
          <cell r="E21">
            <v>0</v>
          </cell>
          <cell r="F21">
            <v>0</v>
          </cell>
          <cell r="G21">
            <v>0.116748046875</v>
          </cell>
          <cell r="H21">
            <v>-6.633758544921875</v>
          </cell>
          <cell r="I21">
            <v>-16.072131347656249</v>
          </cell>
          <cell r="J21">
            <v>-15.901828002929687</v>
          </cell>
          <cell r="K21">
            <v>-15.6541748046875</v>
          </cell>
          <cell r="L21">
            <v>-15.387786865234375</v>
          </cell>
          <cell r="M21">
            <v>-5.3911254882812498</v>
          </cell>
          <cell r="N21">
            <v>-7.135345458984375</v>
          </cell>
          <cell r="O21">
            <v>-0.461944580078125</v>
          </cell>
        </row>
        <row r="22">
          <cell r="B22" t="str">
            <v>Scheduled Load Reduction Program (SLRP)</v>
          </cell>
          <cell r="D22" t="str">
            <v>N/A</v>
          </cell>
          <cell r="E22" t="str">
            <v>N/A</v>
          </cell>
          <cell r="F22" t="str">
            <v>N/A</v>
          </cell>
          <cell r="G22" t="str">
            <v>N/A</v>
          </cell>
          <cell r="H22" t="str">
            <v>N/A</v>
          </cell>
          <cell r="I22" t="str">
            <v>N/A</v>
          </cell>
          <cell r="J22" t="str">
            <v>N/A</v>
          </cell>
          <cell r="K22" t="str">
            <v>N/A</v>
          </cell>
          <cell r="L22" t="str">
            <v>N/A</v>
          </cell>
          <cell r="M22" t="str">
            <v>N/A</v>
          </cell>
          <cell r="N22" t="str">
            <v>N/A</v>
          </cell>
          <cell r="O22" t="str">
            <v>N/A</v>
          </cell>
        </row>
        <row r="30">
          <cell r="D30" t="str">
            <v>January</v>
          </cell>
          <cell r="E30" t="str">
            <v>February</v>
          </cell>
          <cell r="F30" t="str">
            <v>March</v>
          </cell>
          <cell r="G30" t="str">
            <v>April</v>
          </cell>
          <cell r="H30" t="str">
            <v>May</v>
          </cell>
          <cell r="I30" t="str">
            <v>June</v>
          </cell>
          <cell r="J30" t="str">
            <v>July</v>
          </cell>
          <cell r="K30" t="str">
            <v>August</v>
          </cell>
          <cell r="L30" t="str">
            <v>September</v>
          </cell>
          <cell r="M30" t="str">
            <v>October</v>
          </cell>
          <cell r="N30" t="str">
            <v>November</v>
          </cell>
          <cell r="O30" t="str">
            <v>December</v>
          </cell>
        </row>
        <row r="32">
          <cell r="B32" t="str">
            <v>Agricultural &amp; Pumping Interruptible (API)</v>
          </cell>
          <cell r="D32">
            <v>9.3687674932479847</v>
          </cell>
          <cell r="E32">
            <v>8.9873742545700068</v>
          </cell>
          <cell r="F32">
            <v>13.575469333419798</v>
          </cell>
          <cell r="G32">
            <v>24.630709648132324</v>
          </cell>
          <cell r="H32">
            <v>30.327731323242187</v>
          </cell>
          <cell r="I32">
            <v>35.268162918090823</v>
          </cell>
          <cell r="J32">
            <v>36.421836662292478</v>
          </cell>
          <cell r="K32">
            <v>32.259955215454099</v>
          </cell>
          <cell r="L32">
            <v>23.915012454986574</v>
          </cell>
          <cell r="M32">
            <v>19.077589988708496</v>
          </cell>
          <cell r="N32">
            <v>10.461921501159669</v>
          </cell>
          <cell r="O32">
            <v>6.4036185264587404</v>
          </cell>
        </row>
        <row r="33">
          <cell r="B33" t="str">
            <v>Base Interruptible Program (BIP) 15 Minute Option</v>
          </cell>
          <cell r="D33">
            <v>3218.6922000000004</v>
          </cell>
          <cell r="E33">
            <v>3461.1626000000006</v>
          </cell>
          <cell r="F33">
            <v>3198.1469999999999</v>
          </cell>
          <cell r="G33">
            <v>3863.2584000000002</v>
          </cell>
          <cell r="H33">
            <v>3971.9194000000002</v>
          </cell>
          <cell r="I33">
            <v>3996.4317999999998</v>
          </cell>
          <cell r="J33">
            <v>4058.8229999999994</v>
          </cell>
          <cell r="K33">
            <v>4065.4123999999997</v>
          </cell>
          <cell r="L33">
            <v>4147.7287999999999</v>
          </cell>
          <cell r="M33">
            <v>4146.4733999999999</v>
          </cell>
          <cell r="N33">
            <v>4239.1304</v>
          </cell>
          <cell r="O33">
            <v>3694.7937999999995</v>
          </cell>
        </row>
        <row r="34">
          <cell r="B34" t="str">
            <v>Base Interruptible Program (BIP) 30 Minute Option</v>
          </cell>
          <cell r="D34">
            <v>1027.4862000000001</v>
          </cell>
          <cell r="E34">
            <v>1122.086</v>
          </cell>
          <cell r="F34">
            <v>1020.3368</v>
          </cell>
          <cell r="G34">
            <v>1120.1835999999998</v>
          </cell>
          <cell r="H34">
            <v>1065.06134</v>
          </cell>
          <cell r="I34">
            <v>1094.1505999999999</v>
          </cell>
          <cell r="J34">
            <v>1034.5624400000002</v>
          </cell>
          <cell r="K34">
            <v>1089.269</v>
          </cell>
          <cell r="L34">
            <v>1118.1792</v>
          </cell>
          <cell r="M34">
            <v>1057.4932000000001</v>
          </cell>
          <cell r="N34">
            <v>1086.3828000000001</v>
          </cell>
          <cell r="O34">
            <v>1012.68564</v>
          </cell>
        </row>
        <row r="35">
          <cell r="B35" t="str">
            <v>Capacity Bidding Program (CBP) Day Ahead</v>
          </cell>
          <cell r="D35">
            <v>0.82344500000000009</v>
          </cell>
          <cell r="E35">
            <v>0.82344500000000009</v>
          </cell>
          <cell r="F35">
            <v>0.82344500000000009</v>
          </cell>
          <cell r="G35">
            <v>0</v>
          </cell>
          <cell r="H35">
            <v>10.111364999999997</v>
          </cell>
          <cell r="I35">
            <v>10.117643000000001</v>
          </cell>
          <cell r="J35">
            <v>10.089724399999998</v>
          </cell>
          <cell r="K35">
            <v>10.133846199999999</v>
          </cell>
          <cell r="L35">
            <v>10.193114599999999</v>
          </cell>
          <cell r="M35">
            <v>10.275522</v>
          </cell>
          <cell r="N35">
            <v>0</v>
          </cell>
          <cell r="O35">
            <v>0</v>
          </cell>
        </row>
        <row r="36">
          <cell r="B36" t="str">
            <v>Capacity Bidding Program (CBP) Day Of</v>
          </cell>
          <cell r="D36">
            <v>3.3574545999999996</v>
          </cell>
          <cell r="E36">
            <v>3.3574545999999996</v>
          </cell>
          <cell r="F36">
            <v>3.3574545999999996</v>
          </cell>
          <cell r="G36">
            <v>0</v>
          </cell>
          <cell r="H36">
            <v>5.9923963999999996</v>
          </cell>
          <cell r="I36">
            <v>5.9765626000000003</v>
          </cell>
          <cell r="J36">
            <v>5.9660544</v>
          </cell>
          <cell r="K36">
            <v>5.9835791999999994</v>
          </cell>
          <cell r="L36">
            <v>5.9970929999999996</v>
          </cell>
          <cell r="M36">
            <v>6.0016992</v>
          </cell>
          <cell r="N36">
            <v>0</v>
          </cell>
          <cell r="O36">
            <v>0</v>
          </cell>
        </row>
        <row r="37">
          <cell r="B37" t="str">
            <v>Smart Energy Program (SEP)</v>
          </cell>
          <cell r="D37">
            <v>0</v>
          </cell>
          <cell r="E37">
            <v>0</v>
          </cell>
          <cell r="F37">
            <v>1.0179747161900243E-2</v>
          </cell>
          <cell r="G37">
            <v>0.28083021640777589</v>
          </cell>
          <cell r="H37">
            <v>0.36740093231201171</v>
          </cell>
          <cell r="I37">
            <v>0.41059319972991942</v>
          </cell>
          <cell r="J37">
            <v>0.48965883255004883</v>
          </cell>
          <cell r="K37">
            <v>0.48971555233001707</v>
          </cell>
          <cell r="L37">
            <v>0.53384840488433838</v>
          </cell>
          <cell r="M37">
            <v>0.41699398756027223</v>
          </cell>
          <cell r="N37">
            <v>7.9251027107238775E-2</v>
          </cell>
          <cell r="O37">
            <v>0</v>
          </cell>
        </row>
        <row r="38">
          <cell r="B38" t="str">
            <v>Summer Discount Plan Program (SDP) - Commercial</v>
          </cell>
          <cell r="D38">
            <v>1.6827942056657335</v>
          </cell>
          <cell r="E38">
            <v>1.8901581994160268</v>
          </cell>
          <cell r="F38">
            <v>1.3278222004579081</v>
          </cell>
          <cell r="G38">
            <v>2.0539485341639625</v>
          </cell>
          <cell r="H38">
            <v>1.9033033945269544</v>
          </cell>
          <cell r="I38">
            <v>2.3216029959003199</v>
          </cell>
          <cell r="J38">
            <v>2.4282560352539142</v>
          </cell>
          <cell r="K38">
            <v>2.2379580224417319</v>
          </cell>
          <cell r="L38">
            <v>2.4811548093062838</v>
          </cell>
          <cell r="M38">
            <v>1.8708568854939884</v>
          </cell>
          <cell r="N38">
            <v>1.5885631072570952</v>
          </cell>
          <cell r="O38">
            <v>1.6133164465015768</v>
          </cell>
        </row>
        <row r="39">
          <cell r="B39" t="str">
            <v>Summer Discount Plan Program (SDP) - Residential</v>
          </cell>
          <cell r="D39">
            <v>0</v>
          </cell>
          <cell r="E39">
            <v>0</v>
          </cell>
          <cell r="F39">
            <v>9.3958154768229336E-3</v>
          </cell>
          <cell r="G39">
            <v>8.0698309265547857E-2</v>
          </cell>
          <cell r="H39">
            <v>0.16065174584761605</v>
          </cell>
          <cell r="I39">
            <v>0.58200744622502565</v>
          </cell>
          <cell r="J39">
            <v>0.8487551952096215</v>
          </cell>
          <cell r="K39">
            <v>0.9174127036980213</v>
          </cell>
          <cell r="L39">
            <v>0.9480945389284422</v>
          </cell>
          <cell r="M39">
            <v>0.26333677666150901</v>
          </cell>
          <cell r="N39">
            <v>1.6289037852286702E-2</v>
          </cell>
          <cell r="O39">
            <v>0</v>
          </cell>
        </row>
        <row r="40">
          <cell r="B40" t="str">
            <v>Load Modifying Demand Response Programs</v>
          </cell>
          <cell r="D40"/>
          <cell r="E40"/>
          <cell r="F40"/>
          <cell r="G40"/>
          <cell r="H40"/>
          <cell r="I40"/>
          <cell r="J40"/>
          <cell r="K40"/>
          <cell r="L40"/>
          <cell r="M40"/>
          <cell r="N40"/>
          <cell r="O40"/>
        </row>
        <row r="41">
          <cell r="B41" t="str">
            <v>Critical Peak Pricing - Small 0 to 20 kW</v>
          </cell>
          <cell r="D41">
            <v>2.4177794146393477E-3</v>
          </cell>
          <cell r="E41">
            <v>2.4176778739359909E-3</v>
          </cell>
          <cell r="F41">
            <v>2.423686714765518E-3</v>
          </cell>
          <cell r="G41">
            <v>2.366E-3</v>
          </cell>
          <cell r="H41">
            <v>2.8415999999999997E-3</v>
          </cell>
          <cell r="I41">
            <v>3.1883999999999997E-3</v>
          </cell>
          <cell r="J41">
            <v>3.6315999999999996E-3</v>
          </cell>
          <cell r="K41">
            <v>3.7022000000000001E-3</v>
          </cell>
          <cell r="L41">
            <v>3.6174000000000006E-3</v>
          </cell>
          <cell r="M41">
            <v>3.127200000000001E-3</v>
          </cell>
          <cell r="N41">
            <v>2.1608E-3</v>
          </cell>
          <cell r="O41">
            <v>2.0583999999999997E-3</v>
          </cell>
        </row>
        <row r="42">
          <cell r="B42" t="str">
            <v>Critical Peak Pricing - Med 20 to 199.99 kW</v>
          </cell>
          <cell r="D42">
            <v>4.8697799999999999E-2</v>
          </cell>
          <cell r="E42">
            <v>4.8686853641456578E-2</v>
          </cell>
          <cell r="F42">
            <v>5.2685885154061619E-2</v>
          </cell>
          <cell r="G42">
            <v>0.12899220000000003</v>
          </cell>
          <cell r="H42">
            <v>0.14477760000000001</v>
          </cell>
          <cell r="I42">
            <v>0.15204699999999999</v>
          </cell>
          <cell r="J42">
            <v>0.17250699999999997</v>
          </cell>
          <cell r="K42">
            <v>0.17852799999999999</v>
          </cell>
          <cell r="L42">
            <v>0.17809700000000001</v>
          </cell>
          <cell r="M42">
            <v>0.15412100000000001</v>
          </cell>
          <cell r="N42">
            <v>0.12020980000000001</v>
          </cell>
          <cell r="O42">
            <v>0.10887100000000001</v>
          </cell>
        </row>
        <row r="43">
          <cell r="B43" t="str">
            <v>Critical Peak Pricing - Large 20 kW and Above</v>
          </cell>
          <cell r="D43">
            <v>4.0609120000000001</v>
          </cell>
          <cell r="E43">
            <v>4.0610726000000001</v>
          </cell>
          <cell r="F43">
            <v>4.1093080000000004</v>
          </cell>
          <cell r="G43">
            <v>5.2049500000000002</v>
          </cell>
          <cell r="H43">
            <v>5.5152495999999998</v>
          </cell>
          <cell r="I43">
            <v>5.4835186</v>
          </cell>
          <cell r="J43">
            <v>5.870576999999999</v>
          </cell>
          <cell r="K43">
            <v>6.0541356000000004</v>
          </cell>
          <cell r="L43">
            <v>5.956074000000001</v>
          </cell>
          <cell r="M43">
            <v>5.5060946</v>
          </cell>
          <cell r="N43">
            <v>5.1372738</v>
          </cell>
          <cell r="O43">
            <v>4.5318386000000004</v>
          </cell>
        </row>
        <row r="44">
          <cell r="B44" t="str">
            <v>Optional Binding Mandatory Curtailment (OBMC)</v>
          </cell>
          <cell r="D44">
            <v>1596.9</v>
          </cell>
          <cell r="E44">
            <v>1599.4</v>
          </cell>
          <cell r="F44">
            <v>1601.1</v>
          </cell>
          <cell r="G44">
            <v>1555.4</v>
          </cell>
          <cell r="H44">
            <v>1609.8</v>
          </cell>
          <cell r="I44">
            <v>1524.3</v>
          </cell>
          <cell r="J44">
            <v>1510.6</v>
          </cell>
          <cell r="K44">
            <v>1532.1</v>
          </cell>
          <cell r="L44">
            <v>1469.2</v>
          </cell>
          <cell r="M44">
            <v>1450.6</v>
          </cell>
          <cell r="N44">
            <v>1498.3</v>
          </cell>
          <cell r="O44">
            <v>1348.1</v>
          </cell>
        </row>
        <row r="45">
          <cell r="B45" t="str">
            <v>Real Time Pricing (RTP)</v>
          </cell>
          <cell r="D45">
            <v>0</v>
          </cell>
          <cell r="E45">
            <v>0</v>
          </cell>
          <cell r="F45">
            <v>0</v>
          </cell>
          <cell r="G45">
            <v>-2.0452941894531249</v>
          </cell>
          <cell r="H45">
            <v>-2.092803955078125</v>
          </cell>
          <cell r="I45">
            <v>88.695605468750003</v>
          </cell>
          <cell r="J45">
            <v>24.460275268554689</v>
          </cell>
          <cell r="K45">
            <v>25.630569458007813</v>
          </cell>
          <cell r="L45">
            <v>29.858706665039062</v>
          </cell>
          <cell r="M45">
            <v>2.5489746093750001</v>
          </cell>
          <cell r="N45">
            <v>0.25333862304687499</v>
          </cell>
          <cell r="O45">
            <v>0.20137786865234375</v>
          </cell>
        </row>
        <row r="46">
          <cell r="B46" t="str">
            <v>Scheduled Load Reduction Program (SLRP)</v>
          </cell>
          <cell r="D46" t="str">
            <v>N/A</v>
          </cell>
          <cell r="E46" t="str">
            <v>N/A</v>
          </cell>
          <cell r="F46" t="str">
            <v>N/A</v>
          </cell>
          <cell r="G46" t="str">
            <v>N/A</v>
          </cell>
          <cell r="H46" t="str">
            <v>N/A</v>
          </cell>
          <cell r="I46" t="str">
            <v>N/A</v>
          </cell>
          <cell r="J46" t="str">
            <v>N/A</v>
          </cell>
          <cell r="K46" t="str">
            <v>N/A</v>
          </cell>
          <cell r="L46" t="str">
            <v>N/A</v>
          </cell>
          <cell r="M46" t="str">
            <v>N/A</v>
          </cell>
          <cell r="N46" t="str">
            <v>N/A</v>
          </cell>
          <cell r="O46" t="str">
            <v>N/A</v>
          </cell>
        </row>
      </sheetData>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0B4E3F-51A0-4AEC-8FEA-23185F1CA812}" name="Table2" displayName="Table2" ref="A1:D47" totalsRowShown="0">
  <autoFilter ref="A1:D47" xr:uid="{3AD6ED5F-5D8F-42E0-B77B-35A520720A1A}"/>
  <tableColumns count="4">
    <tableColumn id="1" xr3:uid="{2C3F8478-1106-4284-B9E3-8D6A03970EDF}" name="Program Names" dataDxfId="0"/>
    <tableColumn id="2" xr3:uid="{8A814BB6-0A13-4AE6-A493-4DABD997E05C}" name="Program EX Ante &amp; Ex Post MWs"/>
    <tableColumn id="3" xr3:uid="{25B30383-5768-429E-B408-6566E00ABD8D}" name="Load Impacts (ExPost &amp; ExAnte)"/>
    <tableColumn id="4" xr3:uid="{4406F644-2D34-4224-B693-4CDA5BAF6B33}" name="2021 DRP Expenditures"/>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A55E-8DDE-4FA3-8438-842F60A70230}">
  <dimension ref="A1:D47"/>
  <sheetViews>
    <sheetView workbookViewId="0">
      <selection activeCell="A23" sqref="A23"/>
    </sheetView>
  </sheetViews>
  <sheetFormatPr defaultRowHeight="15" x14ac:dyDescent="0.25"/>
  <cols>
    <col min="1" max="1" width="49" bestFit="1" customWidth="1"/>
    <col min="2" max="2" width="31.28515625" customWidth="1"/>
    <col min="3" max="3" width="30.85546875" customWidth="1"/>
    <col min="4" max="4" width="23.28515625" customWidth="1"/>
  </cols>
  <sheetData>
    <row r="1" spans="1:4" x14ac:dyDescent="0.25">
      <c r="A1" t="s">
        <v>0</v>
      </c>
      <c r="B1" t="s">
        <v>1</v>
      </c>
      <c r="C1" t="s">
        <v>2</v>
      </c>
      <c r="D1" t="s">
        <v>3</v>
      </c>
    </row>
    <row r="2" spans="1:4" x14ac:dyDescent="0.25">
      <c r="A2" s="1" t="s">
        <v>4</v>
      </c>
    </row>
    <row r="3" spans="1:4" x14ac:dyDescent="0.25">
      <c r="A3" s="1" t="s">
        <v>5</v>
      </c>
    </row>
    <row r="4" spans="1:4" x14ac:dyDescent="0.25">
      <c r="A4" s="1" t="s">
        <v>6</v>
      </c>
    </row>
    <row r="5" spans="1:4" x14ac:dyDescent="0.25">
      <c r="A5" s="1" t="s">
        <v>7</v>
      </c>
    </row>
    <row r="6" spans="1:4" x14ac:dyDescent="0.25">
      <c r="A6" s="1" t="s">
        <v>8</v>
      </c>
    </row>
    <row r="7" spans="1:4" x14ac:dyDescent="0.25">
      <c r="A7" s="1" t="s">
        <v>9</v>
      </c>
    </row>
    <row r="8" spans="1:4" x14ac:dyDescent="0.25">
      <c r="A8" s="1" t="s">
        <v>10</v>
      </c>
    </row>
    <row r="9" spans="1:4" x14ac:dyDescent="0.25">
      <c r="A9" s="1" t="s">
        <v>11</v>
      </c>
    </row>
    <row r="10" spans="1:4" x14ac:dyDescent="0.25">
      <c r="A10" s="1" t="s">
        <v>12</v>
      </c>
    </row>
    <row r="11" spans="1:4" x14ac:dyDescent="0.25">
      <c r="A11" s="1" t="s">
        <v>13</v>
      </c>
    </row>
    <row r="12" spans="1:4" x14ac:dyDescent="0.25">
      <c r="A12" s="1" t="s">
        <v>14</v>
      </c>
    </row>
    <row r="13" spans="1:4" x14ac:dyDescent="0.25">
      <c r="A13" s="1" t="s">
        <v>15</v>
      </c>
    </row>
    <row r="14" spans="1:4" x14ac:dyDescent="0.25">
      <c r="A14" s="1" t="s">
        <v>16</v>
      </c>
    </row>
    <row r="15" spans="1:4" ht="26.25" x14ac:dyDescent="0.25">
      <c r="A15" s="3" t="s">
        <v>17</v>
      </c>
    </row>
    <row r="16" spans="1:4" ht="26.25" x14ac:dyDescent="0.25">
      <c r="A16" s="3" t="s">
        <v>18</v>
      </c>
    </row>
    <row r="17" spans="1:1" x14ac:dyDescent="0.25">
      <c r="A17" s="1" t="s">
        <v>19</v>
      </c>
    </row>
    <row r="18" spans="1:1" x14ac:dyDescent="0.25">
      <c r="A18" s="1" t="s">
        <v>20</v>
      </c>
    </row>
    <row r="19" spans="1:1" x14ac:dyDescent="0.25">
      <c r="A19" s="1" t="s">
        <v>21</v>
      </c>
    </row>
    <row r="20" spans="1:1" x14ac:dyDescent="0.25">
      <c r="A20" s="1" t="s">
        <v>22</v>
      </c>
    </row>
    <row r="21" spans="1:1" x14ac:dyDescent="0.25">
      <c r="A21" s="1" t="s">
        <v>23</v>
      </c>
    </row>
    <row r="22" spans="1:1" x14ac:dyDescent="0.25">
      <c r="A22" s="1" t="s">
        <v>24</v>
      </c>
    </row>
    <row r="23" spans="1:1" x14ac:dyDescent="0.25">
      <c r="A23" s="1" t="s">
        <v>25</v>
      </c>
    </row>
    <row r="24" spans="1:1" x14ac:dyDescent="0.25">
      <c r="A24" s="1" t="s">
        <v>26</v>
      </c>
    </row>
    <row r="25" spans="1:1" x14ac:dyDescent="0.25">
      <c r="A25" s="1" t="s">
        <v>27</v>
      </c>
    </row>
    <row r="26" spans="1:1" x14ac:dyDescent="0.25">
      <c r="A26" s="1" t="s">
        <v>28</v>
      </c>
    </row>
    <row r="27" spans="1:1" x14ac:dyDescent="0.25">
      <c r="A27" s="1" t="s">
        <v>29</v>
      </c>
    </row>
    <row r="28" spans="1:1" x14ac:dyDescent="0.25">
      <c r="A28" s="1" t="s">
        <v>30</v>
      </c>
    </row>
    <row r="29" spans="1:1" x14ac:dyDescent="0.25">
      <c r="A29" s="1" t="s">
        <v>31</v>
      </c>
    </row>
    <row r="30" spans="1:1" x14ac:dyDescent="0.25">
      <c r="A30" s="1" t="s">
        <v>32</v>
      </c>
    </row>
    <row r="31" spans="1:1" x14ac:dyDescent="0.25">
      <c r="A31" s="1" t="s">
        <v>33</v>
      </c>
    </row>
    <row r="32" spans="1:1" x14ac:dyDescent="0.25">
      <c r="A32" s="1" t="s">
        <v>34</v>
      </c>
    </row>
    <row r="33" spans="1:1" x14ac:dyDescent="0.25">
      <c r="A33" s="1" t="s">
        <v>35</v>
      </c>
    </row>
    <row r="34" spans="1:1" x14ac:dyDescent="0.25">
      <c r="A34" s="1" t="s">
        <v>36</v>
      </c>
    </row>
    <row r="35" spans="1:1" x14ac:dyDescent="0.25">
      <c r="A35" s="1" t="s">
        <v>37</v>
      </c>
    </row>
    <row r="36" spans="1:1" x14ac:dyDescent="0.25">
      <c r="A36" s="1" t="s">
        <v>38</v>
      </c>
    </row>
    <row r="37" spans="1:1" x14ac:dyDescent="0.25">
      <c r="A37" s="1" t="s">
        <v>39</v>
      </c>
    </row>
    <row r="38" spans="1:1" x14ac:dyDescent="0.25">
      <c r="A38" s="1" t="s">
        <v>40</v>
      </c>
    </row>
    <row r="39" spans="1:1" x14ac:dyDescent="0.25">
      <c r="A39" s="1" t="s">
        <v>41</v>
      </c>
    </row>
    <row r="40" spans="1:1" x14ac:dyDescent="0.25">
      <c r="A40" s="1" t="s">
        <v>42</v>
      </c>
    </row>
    <row r="41" spans="1:1" x14ac:dyDescent="0.25">
      <c r="A41" s="1" t="s">
        <v>43</v>
      </c>
    </row>
    <row r="42" spans="1:1" x14ac:dyDescent="0.25">
      <c r="A42" s="1" t="s">
        <v>44</v>
      </c>
    </row>
    <row r="43" spans="1:1" x14ac:dyDescent="0.25">
      <c r="A43" s="1" t="s">
        <v>45</v>
      </c>
    </row>
    <row r="44" spans="1:1" x14ac:dyDescent="0.25">
      <c r="A44" s="1" t="s">
        <v>46</v>
      </c>
    </row>
    <row r="45" spans="1:1" x14ac:dyDescent="0.25">
      <c r="A45" s="1" t="s">
        <v>47</v>
      </c>
    </row>
    <row r="46" spans="1:1" x14ac:dyDescent="0.25">
      <c r="A46" s="1" t="s">
        <v>48</v>
      </c>
    </row>
    <row r="47" spans="1:1" x14ac:dyDescent="0.25">
      <c r="A47" s="1" t="s">
        <v>49</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029BF-772E-4B10-84D6-86EDD7E24852}">
  <sheetPr>
    <pageSetUpPr fitToPage="1"/>
  </sheetPr>
  <dimension ref="B1:R231"/>
  <sheetViews>
    <sheetView showGridLines="0" view="pageBreakPreview" zoomScale="70" zoomScaleNormal="70" zoomScaleSheetLayoutView="70" zoomScalePageLayoutView="60" workbookViewId="0">
      <selection activeCell="B1" sqref="B1:Q1"/>
    </sheetView>
  </sheetViews>
  <sheetFormatPr defaultRowHeight="15" x14ac:dyDescent="0.25"/>
  <cols>
    <col min="1" max="1" width="1.85546875" customWidth="1"/>
    <col min="2" max="2" width="94.5703125" customWidth="1"/>
    <col min="3" max="14" width="14.7109375" customWidth="1"/>
    <col min="15" max="15" width="15.42578125" customWidth="1"/>
    <col min="16" max="17" width="15.7109375" hidden="1" customWidth="1"/>
    <col min="18" max="18" width="9.140625" hidden="1" customWidth="1"/>
  </cols>
  <sheetData>
    <row r="1" spans="2:18" ht="62.25" customHeight="1" x14ac:dyDescent="0.25">
      <c r="B1" s="253" t="s">
        <v>129</v>
      </c>
      <c r="C1" s="253"/>
      <c r="D1" s="253"/>
      <c r="E1" s="253"/>
      <c r="F1" s="253"/>
      <c r="G1" s="253"/>
      <c r="H1" s="253"/>
      <c r="I1" s="253"/>
      <c r="J1" s="253"/>
      <c r="K1" s="253"/>
      <c r="L1" s="253"/>
      <c r="M1" s="253"/>
      <c r="N1" s="253"/>
      <c r="O1" s="253"/>
      <c r="P1" s="253"/>
      <c r="Q1" s="253"/>
    </row>
    <row r="2" spans="2:18" ht="12.75" customHeight="1" x14ac:dyDescent="0.25">
      <c r="B2" s="2" t="s">
        <v>51</v>
      </c>
      <c r="C2" s="1"/>
      <c r="D2" s="1"/>
      <c r="E2" s="1"/>
      <c r="F2" s="1"/>
      <c r="G2" s="1"/>
      <c r="H2" s="1"/>
      <c r="I2" s="1"/>
      <c r="J2" s="1"/>
      <c r="K2" s="1"/>
      <c r="L2" s="1"/>
      <c r="M2" s="1"/>
      <c r="N2" s="1"/>
      <c r="O2" s="1"/>
      <c r="P2" s="1"/>
      <c r="Q2" s="1"/>
      <c r="R2" s="1"/>
    </row>
    <row r="3" spans="2:18" ht="12.75" customHeight="1" x14ac:dyDescent="0.25">
      <c r="B3" s="2" t="s">
        <v>130</v>
      </c>
      <c r="C3" s="1"/>
      <c r="D3" s="1"/>
      <c r="E3" s="1"/>
      <c r="F3" s="1"/>
      <c r="G3" s="1"/>
      <c r="H3" s="1"/>
      <c r="I3" s="1"/>
      <c r="J3" s="1"/>
      <c r="K3" s="1"/>
      <c r="L3" s="1"/>
      <c r="M3" s="1"/>
      <c r="N3" s="1"/>
      <c r="O3" s="1"/>
      <c r="P3" s="1"/>
      <c r="Q3" s="1"/>
      <c r="R3" s="1"/>
    </row>
    <row r="4" spans="2:18" ht="12.75" customHeight="1" x14ac:dyDescent="0.25">
      <c r="B4" s="1"/>
      <c r="C4" s="1"/>
      <c r="D4" s="1"/>
      <c r="E4" s="1"/>
      <c r="F4" s="1"/>
      <c r="G4" s="1"/>
      <c r="H4" s="1"/>
      <c r="I4" s="1"/>
      <c r="J4" s="1"/>
      <c r="K4" s="1"/>
      <c r="L4" s="1"/>
      <c r="M4" s="1"/>
      <c r="N4" s="1"/>
      <c r="O4" s="1"/>
      <c r="P4" s="1"/>
      <c r="Q4" s="1"/>
      <c r="R4" s="1"/>
    </row>
    <row r="5" spans="2:18" ht="18" customHeight="1" x14ac:dyDescent="0.25">
      <c r="B5" s="1"/>
      <c r="C5" s="231" t="s">
        <v>192</v>
      </c>
      <c r="D5" s="232"/>
      <c r="E5" s="232"/>
      <c r="F5" s="232"/>
      <c r="G5" s="232"/>
      <c r="H5" s="232"/>
      <c r="I5" s="232"/>
      <c r="J5" s="232"/>
      <c r="K5" s="232"/>
      <c r="L5" s="232"/>
      <c r="M5" s="232"/>
      <c r="N5" s="233"/>
      <c r="O5" s="254" t="s">
        <v>87</v>
      </c>
      <c r="P5" s="256" t="s">
        <v>131</v>
      </c>
      <c r="Q5" s="240" t="s">
        <v>89</v>
      </c>
      <c r="R5" s="1"/>
    </row>
    <row r="6" spans="2:18" ht="38.25" customHeight="1" x14ac:dyDescent="0.25">
      <c r="B6" s="1"/>
      <c r="C6" s="269" t="s">
        <v>53</v>
      </c>
      <c r="D6" s="177" t="s">
        <v>54</v>
      </c>
      <c r="E6" s="177" t="s">
        <v>55</v>
      </c>
      <c r="F6" s="177" t="s">
        <v>56</v>
      </c>
      <c r="G6" s="177" t="s">
        <v>57</v>
      </c>
      <c r="H6" s="177" t="s">
        <v>58</v>
      </c>
      <c r="I6" s="177" t="s">
        <v>66</v>
      </c>
      <c r="J6" s="177" t="s">
        <v>67</v>
      </c>
      <c r="K6" s="177" t="s">
        <v>68</v>
      </c>
      <c r="L6" s="177" t="s">
        <v>69</v>
      </c>
      <c r="M6" s="177" t="s">
        <v>70</v>
      </c>
      <c r="N6" s="270" t="s">
        <v>71</v>
      </c>
      <c r="O6" s="255"/>
      <c r="P6" s="257"/>
      <c r="Q6" s="258"/>
      <c r="R6" s="1"/>
    </row>
    <row r="7" spans="2:18" x14ac:dyDescent="0.25">
      <c r="B7" s="31" t="s">
        <v>185</v>
      </c>
      <c r="C7" s="30"/>
      <c r="D7" s="30"/>
      <c r="E7" s="30"/>
      <c r="F7" s="30"/>
      <c r="G7" s="30"/>
      <c r="H7" s="30"/>
      <c r="I7" s="30"/>
      <c r="J7" s="30"/>
      <c r="K7" s="30"/>
      <c r="L7" s="30"/>
      <c r="M7" s="30"/>
      <c r="N7" s="30"/>
      <c r="O7" s="30"/>
      <c r="P7" s="30"/>
      <c r="Q7" s="30"/>
      <c r="R7" s="1"/>
    </row>
    <row r="8" spans="2:18" ht="12.75" customHeight="1" x14ac:dyDescent="0.25">
      <c r="B8" s="1" t="s">
        <v>132</v>
      </c>
      <c r="C8" s="77">
        <v>5993.22</v>
      </c>
      <c r="D8" s="77">
        <v>1652.19</v>
      </c>
      <c r="E8" s="77">
        <v>5389.51</v>
      </c>
      <c r="F8" s="77">
        <v>5560.21</v>
      </c>
      <c r="G8" s="77">
        <v>1090635.03</v>
      </c>
      <c r="H8" s="77">
        <v>-817161.34</v>
      </c>
      <c r="I8" s="77"/>
      <c r="J8" s="77"/>
      <c r="K8" s="77"/>
      <c r="L8" s="77"/>
      <c r="M8" s="77"/>
      <c r="N8" s="77"/>
      <c r="O8" s="86">
        <f>SUM(C8:N8)</f>
        <v>292068.81999999995</v>
      </c>
      <c r="P8" s="87"/>
      <c r="Q8" s="87"/>
      <c r="R8" s="1">
        <v>1</v>
      </c>
    </row>
    <row r="9" spans="2:18" ht="12.75" customHeight="1" x14ac:dyDescent="0.25">
      <c r="B9" s="1" t="s">
        <v>133</v>
      </c>
      <c r="C9" s="77">
        <v>276437.90000000002</v>
      </c>
      <c r="D9" s="77">
        <v>-93199.33</v>
      </c>
      <c r="E9" s="77">
        <v>504788.55</v>
      </c>
      <c r="F9" s="77">
        <v>687038.1</v>
      </c>
      <c r="G9" s="77">
        <v>-263985.75</v>
      </c>
      <c r="H9" s="77">
        <v>819691.63</v>
      </c>
      <c r="I9" s="77"/>
      <c r="J9" s="77"/>
      <c r="K9" s="77"/>
      <c r="L9" s="77"/>
      <c r="M9" s="77"/>
      <c r="N9" s="77"/>
      <c r="O9" s="86">
        <f>SUM(C9:N9)</f>
        <v>1930771.1</v>
      </c>
      <c r="P9" s="87"/>
      <c r="Q9" s="87"/>
      <c r="R9" s="1">
        <v>2</v>
      </c>
    </row>
    <row r="10" spans="2:18" x14ac:dyDescent="0.25">
      <c r="B10" s="88" t="s">
        <v>134</v>
      </c>
      <c r="C10" s="89">
        <f>SUM(C8:C9)</f>
        <v>282431.12</v>
      </c>
      <c r="D10" s="89">
        <f t="shared" ref="D10:N10" si="0">SUM(D8:D9)</f>
        <v>-91547.14</v>
      </c>
      <c r="E10" s="89">
        <f t="shared" si="0"/>
        <v>510178.06</v>
      </c>
      <c r="F10" s="89">
        <f t="shared" si="0"/>
        <v>692598.30999999994</v>
      </c>
      <c r="G10" s="89">
        <f t="shared" si="0"/>
        <v>826649.28</v>
      </c>
      <c r="H10" s="89">
        <f t="shared" si="0"/>
        <v>2530.2900000000373</v>
      </c>
      <c r="I10" s="89">
        <f t="shared" si="0"/>
        <v>0</v>
      </c>
      <c r="J10" s="89">
        <f t="shared" si="0"/>
        <v>0</v>
      </c>
      <c r="K10" s="89">
        <f t="shared" si="0"/>
        <v>0</v>
      </c>
      <c r="L10" s="89">
        <f t="shared" si="0"/>
        <v>0</v>
      </c>
      <c r="M10" s="89">
        <f t="shared" si="0"/>
        <v>0</v>
      </c>
      <c r="N10" s="89">
        <f t="shared" si="0"/>
        <v>0</v>
      </c>
      <c r="O10" s="89">
        <f>SUM(O8:O9)</f>
        <v>2222839.92</v>
      </c>
      <c r="P10" s="89"/>
      <c r="Q10" s="90">
        <f>IFERROR(O10/P10,0)</f>
        <v>0</v>
      </c>
      <c r="R10" s="1"/>
    </row>
    <row r="11" spans="2:18" x14ac:dyDescent="0.25">
      <c r="B11" s="1"/>
      <c r="C11" s="91" t="b">
        <v>0</v>
      </c>
      <c r="D11" s="91" t="b">
        <v>0</v>
      </c>
      <c r="E11" s="91" t="b">
        <v>0</v>
      </c>
      <c r="F11" s="91" t="b">
        <v>0</v>
      </c>
      <c r="G11" s="91" t="b">
        <v>1</v>
      </c>
      <c r="H11" s="91" t="b">
        <v>1</v>
      </c>
      <c r="I11" s="91" t="b">
        <v>1</v>
      </c>
      <c r="J11" s="91" t="b">
        <v>1</v>
      </c>
      <c r="K11" s="91" t="b">
        <v>1</v>
      </c>
      <c r="L11" s="91" t="b">
        <v>1</v>
      </c>
      <c r="M11" s="91" t="b">
        <v>1</v>
      </c>
      <c r="N11" s="91" t="b">
        <v>1</v>
      </c>
      <c r="O11" s="1"/>
      <c r="P11" s="1"/>
      <c r="Q11" s="1"/>
      <c r="R11" s="1"/>
    </row>
    <row r="12" spans="2:18" ht="18" customHeight="1" x14ac:dyDescent="0.25">
      <c r="B12" s="2" t="s">
        <v>135</v>
      </c>
      <c r="C12" s="1"/>
      <c r="D12" s="1"/>
      <c r="E12" s="1"/>
      <c r="F12" s="1"/>
      <c r="G12" s="1"/>
      <c r="H12" s="1"/>
      <c r="I12" s="1"/>
      <c r="J12" s="1"/>
      <c r="K12" s="1"/>
      <c r="L12" s="1"/>
      <c r="M12" s="1"/>
      <c r="N12" s="1"/>
      <c r="O12" s="1"/>
      <c r="P12" s="1"/>
      <c r="Q12" s="1"/>
      <c r="R12" s="1"/>
    </row>
    <row r="13" spans="2:18" ht="13.5" customHeight="1" x14ac:dyDescent="0.25">
      <c r="B13" s="92" t="s">
        <v>136</v>
      </c>
      <c r="C13" s="35"/>
      <c r="D13" s="35"/>
      <c r="E13" s="35"/>
      <c r="F13" s="35"/>
      <c r="G13" s="35"/>
      <c r="H13" s="35"/>
      <c r="I13" s="35"/>
      <c r="J13" s="35"/>
      <c r="K13" s="35"/>
      <c r="L13" s="35"/>
      <c r="M13" s="35"/>
      <c r="N13" s="35"/>
      <c r="O13" s="35"/>
      <c r="P13" s="35"/>
      <c r="Q13" s="35"/>
      <c r="R13" s="1"/>
    </row>
    <row r="14" spans="2:18" x14ac:dyDescent="0.25">
      <c r="B14" s="1"/>
      <c r="C14" s="1"/>
      <c r="D14" s="1"/>
      <c r="E14" s="1"/>
      <c r="F14" s="1"/>
      <c r="G14" s="1"/>
      <c r="H14" s="1"/>
      <c r="I14" s="1"/>
      <c r="J14" s="1"/>
      <c r="K14" s="1"/>
      <c r="L14" s="1"/>
      <c r="M14" s="1"/>
      <c r="N14" s="1"/>
      <c r="O14" s="1"/>
      <c r="P14" s="1"/>
      <c r="Q14" s="1"/>
      <c r="R14" s="1"/>
    </row>
    <row r="15" spans="2:18" x14ac:dyDescent="0.25">
      <c r="B15" s="93" t="s">
        <v>137</v>
      </c>
      <c r="C15" s="94"/>
      <c r="D15" s="94"/>
      <c r="E15" s="94"/>
      <c r="F15" s="94"/>
      <c r="G15" s="94"/>
      <c r="H15" s="94"/>
      <c r="I15" s="94"/>
      <c r="J15" s="94"/>
      <c r="K15" s="94"/>
      <c r="L15" s="94"/>
      <c r="M15" s="94"/>
      <c r="N15" s="94"/>
      <c r="O15" s="94"/>
      <c r="P15" s="94"/>
      <c r="Q15" s="94"/>
      <c r="R15" s="1"/>
    </row>
    <row r="16" spans="2:18" hidden="1" x14ac:dyDescent="0.25">
      <c r="B16" s="55" t="s">
        <v>138</v>
      </c>
      <c r="C16" s="85"/>
      <c r="D16" s="85"/>
      <c r="E16" s="85"/>
      <c r="F16" s="85"/>
      <c r="G16" s="85"/>
      <c r="H16" s="85"/>
      <c r="I16" s="85"/>
      <c r="J16" s="85"/>
      <c r="K16" s="85"/>
      <c r="L16" s="85"/>
      <c r="M16" s="85"/>
      <c r="N16" s="85"/>
      <c r="O16" s="61"/>
      <c r="P16" s="61"/>
      <c r="Q16" s="61"/>
      <c r="R16" s="1"/>
    </row>
    <row r="17" spans="2:18" ht="12.75" hidden="1" customHeight="1" x14ac:dyDescent="0.25">
      <c r="B17" s="1" t="str">
        <f>API</f>
        <v>Agricultural &amp; Pumping Interruptible (API)</v>
      </c>
      <c r="C17" s="77">
        <v>0</v>
      </c>
      <c r="D17" s="77">
        <v>0</v>
      </c>
      <c r="E17" s="77">
        <v>0</v>
      </c>
      <c r="F17" s="77">
        <v>0</v>
      </c>
      <c r="G17" s="77">
        <v>0</v>
      </c>
      <c r="H17" s="77">
        <v>0</v>
      </c>
      <c r="I17" s="85"/>
      <c r="J17" s="85"/>
      <c r="K17" s="85"/>
      <c r="L17" s="85"/>
      <c r="M17" s="85"/>
      <c r="N17" s="85"/>
      <c r="O17" s="86">
        <f>SUM(C17:N17)</f>
        <v>0</v>
      </c>
      <c r="P17" s="61"/>
      <c r="Q17" s="87">
        <f t="shared" ref="Q17:Q21" si="1">IFERROR(O17/P17,0)</f>
        <v>0</v>
      </c>
      <c r="R17" s="1"/>
    </row>
    <row r="18" spans="2:18" ht="12.75" hidden="1" customHeight="1" x14ac:dyDescent="0.25">
      <c r="B18" s="1" t="str">
        <f>BIPG</f>
        <v>Base Interruptible Program (BIP)</v>
      </c>
      <c r="C18" s="77">
        <v>0</v>
      </c>
      <c r="D18" s="77">
        <v>0</v>
      </c>
      <c r="E18" s="77">
        <v>0</v>
      </c>
      <c r="F18" s="77">
        <v>0</v>
      </c>
      <c r="G18" s="77">
        <v>0</v>
      </c>
      <c r="H18" s="77">
        <v>0</v>
      </c>
      <c r="I18" s="85"/>
      <c r="J18" s="85"/>
      <c r="K18" s="85"/>
      <c r="L18" s="85"/>
      <c r="M18" s="85"/>
      <c r="N18" s="85"/>
      <c r="O18" s="86">
        <f t="shared" ref="O18:O21" si="2">SUM(C18:N18)</f>
        <v>0</v>
      </c>
      <c r="P18" s="61"/>
      <c r="Q18" s="87">
        <f t="shared" si="1"/>
        <v>0</v>
      </c>
      <c r="R18" s="1"/>
    </row>
    <row r="19" spans="2:18" ht="12.75" hidden="1" customHeight="1" x14ac:dyDescent="0.25">
      <c r="B19" s="1" t="str">
        <f>CBPG</f>
        <v>Capacity Bidding Program (CBP)</v>
      </c>
      <c r="C19" s="77">
        <v>0</v>
      </c>
      <c r="D19" s="77">
        <v>0</v>
      </c>
      <c r="E19" s="77">
        <v>0</v>
      </c>
      <c r="F19" s="77">
        <v>0</v>
      </c>
      <c r="G19" s="77">
        <v>0</v>
      </c>
      <c r="H19" s="77">
        <v>0</v>
      </c>
      <c r="I19" s="85"/>
      <c r="J19" s="85"/>
      <c r="K19" s="85"/>
      <c r="L19" s="85"/>
      <c r="M19" s="85"/>
      <c r="N19" s="85"/>
      <c r="O19" s="86">
        <f t="shared" si="2"/>
        <v>0</v>
      </c>
      <c r="P19" s="61"/>
      <c r="Q19" s="87">
        <f t="shared" si="1"/>
        <v>0</v>
      </c>
      <c r="R19" s="1"/>
    </row>
    <row r="20" spans="2:18" ht="12.75" hidden="1" customHeight="1" x14ac:dyDescent="0.25">
      <c r="B20" s="1" t="str">
        <f>SEP</f>
        <v>Smart Energy Program (SEP)</v>
      </c>
      <c r="C20" s="77">
        <v>0</v>
      </c>
      <c r="D20" s="77">
        <v>0</v>
      </c>
      <c r="E20" s="77">
        <v>0</v>
      </c>
      <c r="F20" s="77">
        <v>0</v>
      </c>
      <c r="G20" s="77">
        <v>0</v>
      </c>
      <c r="H20" s="77">
        <v>0</v>
      </c>
      <c r="I20" s="85"/>
      <c r="J20" s="85"/>
      <c r="K20" s="85"/>
      <c r="L20" s="85"/>
      <c r="M20" s="85"/>
      <c r="N20" s="85"/>
      <c r="O20" s="86">
        <f t="shared" si="2"/>
        <v>0</v>
      </c>
      <c r="P20" s="61"/>
      <c r="Q20" s="87">
        <f t="shared" si="1"/>
        <v>0</v>
      </c>
      <c r="R20" s="1">
        <v>6</v>
      </c>
    </row>
    <row r="21" spans="2:18" ht="12.75" hidden="1" customHeight="1" x14ac:dyDescent="0.25">
      <c r="B21" s="1" t="str">
        <f>SDPG</f>
        <v>Summer Discount Plan Program (SDP)</v>
      </c>
      <c r="C21" s="77">
        <v>0</v>
      </c>
      <c r="D21" s="77">
        <v>0</v>
      </c>
      <c r="E21" s="77">
        <v>0</v>
      </c>
      <c r="F21" s="77">
        <v>0</v>
      </c>
      <c r="G21" s="77">
        <v>0</v>
      </c>
      <c r="H21" s="77">
        <v>0</v>
      </c>
      <c r="I21" s="85"/>
      <c r="J21" s="85"/>
      <c r="K21" s="85"/>
      <c r="L21" s="85"/>
      <c r="M21" s="85"/>
      <c r="N21" s="85"/>
      <c r="O21" s="86">
        <f t="shared" si="2"/>
        <v>0</v>
      </c>
      <c r="P21" s="61"/>
      <c r="Q21" s="87">
        <f t="shared" si="1"/>
        <v>0</v>
      </c>
      <c r="R21" s="1"/>
    </row>
    <row r="22" spans="2:18" hidden="1" x14ac:dyDescent="0.25">
      <c r="B22" s="1" t="s">
        <v>139</v>
      </c>
      <c r="C22" s="85"/>
      <c r="D22" s="77"/>
      <c r="E22" s="85"/>
      <c r="F22" s="85"/>
      <c r="G22" s="85"/>
      <c r="H22" s="85"/>
      <c r="I22" s="85"/>
      <c r="J22" s="85"/>
      <c r="K22" s="85"/>
      <c r="L22" s="85"/>
      <c r="M22" s="85"/>
      <c r="N22" s="85"/>
      <c r="O22" s="61"/>
      <c r="P22" s="61"/>
      <c r="Q22" s="95"/>
      <c r="R22" s="1"/>
    </row>
    <row r="23" spans="2:18" hidden="1" x14ac:dyDescent="0.25">
      <c r="B23" s="55" t="s">
        <v>93</v>
      </c>
      <c r="C23" s="85"/>
      <c r="D23" s="77"/>
      <c r="E23" s="85"/>
      <c r="F23" s="85"/>
      <c r="G23" s="85"/>
      <c r="H23" s="85"/>
      <c r="I23" s="85"/>
      <c r="J23" s="85"/>
      <c r="K23" s="85"/>
      <c r="L23" s="85"/>
      <c r="M23" s="85"/>
      <c r="N23" s="85"/>
      <c r="O23" s="61"/>
      <c r="P23" s="61"/>
      <c r="Q23" s="95"/>
      <c r="R23" s="1"/>
    </row>
    <row r="24" spans="2:18" ht="12.75" hidden="1" customHeight="1" x14ac:dyDescent="0.25">
      <c r="B24" s="1" t="str">
        <f>OBMC</f>
        <v>Optional Binding Mandatory Curtailment (OBMC)</v>
      </c>
      <c r="C24" s="77">
        <v>0</v>
      </c>
      <c r="D24" s="77">
        <v>0</v>
      </c>
      <c r="E24" s="77">
        <v>0</v>
      </c>
      <c r="F24" s="77">
        <v>0</v>
      </c>
      <c r="G24" s="77">
        <v>0</v>
      </c>
      <c r="H24" s="77">
        <v>0</v>
      </c>
      <c r="I24" s="85"/>
      <c r="J24" s="85"/>
      <c r="K24" s="85"/>
      <c r="L24" s="85"/>
      <c r="M24" s="85"/>
      <c r="N24" s="85"/>
      <c r="O24" s="86">
        <f t="shared" ref="O24:O26" si="3">SUM(C24:N24)</f>
        <v>0</v>
      </c>
      <c r="P24" s="61"/>
      <c r="Q24" s="87">
        <f t="shared" ref="Q24:Q26" si="4">IFERROR(O24/P24,0)</f>
        <v>0</v>
      </c>
      <c r="R24" s="1"/>
    </row>
    <row r="25" spans="2:18" ht="12.75" hidden="1" customHeight="1" x14ac:dyDescent="0.25">
      <c r="B25" s="1" t="str">
        <f>ROTO</f>
        <v>Rotating Outages (RO)</v>
      </c>
      <c r="C25" s="77">
        <v>0</v>
      </c>
      <c r="D25" s="77">
        <v>0</v>
      </c>
      <c r="E25" s="77">
        <v>0</v>
      </c>
      <c r="F25" s="77">
        <v>0</v>
      </c>
      <c r="G25" s="77">
        <v>0</v>
      </c>
      <c r="H25" s="77">
        <v>0</v>
      </c>
      <c r="I25" s="85"/>
      <c r="J25" s="85"/>
      <c r="K25" s="85"/>
      <c r="L25" s="85"/>
      <c r="M25" s="85"/>
      <c r="N25" s="85"/>
      <c r="O25" s="86">
        <f t="shared" si="3"/>
        <v>0</v>
      </c>
      <c r="P25" s="61"/>
      <c r="Q25" s="87">
        <f t="shared" si="4"/>
        <v>0</v>
      </c>
      <c r="R25" s="1"/>
    </row>
    <row r="26" spans="2:18" ht="12.75" hidden="1" customHeight="1" x14ac:dyDescent="0.25">
      <c r="B26" s="1" t="str">
        <f>SLRP</f>
        <v>Scheduled Load Reduction Program (SLRP)</v>
      </c>
      <c r="C26" s="77">
        <v>0</v>
      </c>
      <c r="D26" s="77">
        <v>0</v>
      </c>
      <c r="E26" s="77">
        <v>0</v>
      </c>
      <c r="F26" s="77">
        <v>0</v>
      </c>
      <c r="G26" s="77">
        <v>0</v>
      </c>
      <c r="H26" s="77">
        <v>0</v>
      </c>
      <c r="I26" s="85"/>
      <c r="J26" s="85"/>
      <c r="K26" s="85"/>
      <c r="L26" s="85"/>
      <c r="M26" s="85"/>
      <c r="N26" s="85"/>
      <c r="O26" s="86">
        <f t="shared" si="3"/>
        <v>0</v>
      </c>
      <c r="P26" s="61"/>
      <c r="Q26" s="87">
        <f t="shared" si="4"/>
        <v>0</v>
      </c>
      <c r="R26" s="1"/>
    </row>
    <row r="27" spans="2:18" hidden="1" x14ac:dyDescent="0.25">
      <c r="B27" s="1"/>
      <c r="C27" s="85"/>
      <c r="D27" s="77"/>
      <c r="E27" s="85"/>
      <c r="F27" s="85"/>
      <c r="G27" s="85"/>
      <c r="H27" s="85"/>
      <c r="I27" s="85"/>
      <c r="J27" s="85"/>
      <c r="K27" s="85"/>
      <c r="L27" s="85"/>
      <c r="M27" s="85"/>
      <c r="N27" s="85"/>
      <c r="O27" s="61"/>
      <c r="P27" s="61"/>
      <c r="Q27" s="95"/>
      <c r="R27" s="1"/>
    </row>
    <row r="28" spans="2:18" ht="33" hidden="1" customHeight="1" x14ac:dyDescent="0.25">
      <c r="B28" s="55" t="s">
        <v>140</v>
      </c>
      <c r="C28" s="85"/>
      <c r="D28" s="77"/>
      <c r="E28" s="85"/>
      <c r="F28" s="85"/>
      <c r="G28" s="85"/>
      <c r="H28" s="85"/>
      <c r="I28" s="85"/>
      <c r="J28" s="85"/>
      <c r="K28" s="85"/>
      <c r="L28" s="85"/>
      <c r="M28" s="85"/>
      <c r="N28" s="85"/>
      <c r="O28" s="61"/>
      <c r="P28" s="61"/>
      <c r="Q28" s="95"/>
      <c r="R28" s="1"/>
    </row>
    <row r="29" spans="2:18" ht="12.75" hidden="1" customHeight="1" x14ac:dyDescent="0.25">
      <c r="B29" s="1" t="str">
        <f>DRAM</f>
        <v>Demand Response Auction Mechanism (DRAM)</v>
      </c>
      <c r="C29" s="77">
        <v>0</v>
      </c>
      <c r="D29" s="77">
        <v>0</v>
      </c>
      <c r="E29" s="77">
        <v>0</v>
      </c>
      <c r="F29" s="77">
        <v>0</v>
      </c>
      <c r="G29" s="77">
        <v>0</v>
      </c>
      <c r="H29" s="77">
        <v>0</v>
      </c>
      <c r="I29" s="85"/>
      <c r="J29" s="85"/>
      <c r="K29" s="85"/>
      <c r="L29" s="85"/>
      <c r="M29" s="85"/>
      <c r="N29" s="85"/>
      <c r="O29" s="86">
        <f t="shared" ref="O29" si="5">SUM(C29:N29)</f>
        <v>0</v>
      </c>
      <c r="P29" s="61"/>
      <c r="Q29" s="87">
        <f>IFERROR(O29/P29,0)</f>
        <v>0</v>
      </c>
      <c r="R29" s="1"/>
    </row>
    <row r="30" spans="2:18" hidden="1" x14ac:dyDescent="0.25">
      <c r="B30" s="1"/>
      <c r="C30" s="85"/>
      <c r="D30" s="77"/>
      <c r="E30" s="85"/>
      <c r="F30" s="85"/>
      <c r="G30" s="85"/>
      <c r="H30" s="85"/>
      <c r="I30" s="85"/>
      <c r="J30" s="85"/>
      <c r="K30" s="85"/>
      <c r="L30" s="85"/>
      <c r="M30" s="85"/>
      <c r="N30" s="85"/>
      <c r="O30" s="61"/>
      <c r="P30" s="61"/>
      <c r="Q30" s="95"/>
      <c r="R30" s="1"/>
    </row>
    <row r="31" spans="2:18" x14ac:dyDescent="0.25">
      <c r="B31" s="55" t="s">
        <v>97</v>
      </c>
      <c r="C31" s="85"/>
      <c r="D31" s="77"/>
      <c r="E31" s="85"/>
      <c r="F31" s="85"/>
      <c r="G31" s="85"/>
      <c r="H31" s="85"/>
      <c r="I31" s="85"/>
      <c r="J31" s="85"/>
      <c r="K31" s="85"/>
      <c r="L31" s="85"/>
      <c r="M31" s="85"/>
      <c r="N31" s="85"/>
      <c r="O31" s="61"/>
      <c r="P31" s="61"/>
      <c r="Q31" s="95"/>
      <c r="R31" s="1"/>
    </row>
    <row r="32" spans="2:18" ht="12.75" customHeight="1" x14ac:dyDescent="0.25">
      <c r="B32" s="1" t="str">
        <f>EMT</f>
        <v>Emerging Markets and Technology</v>
      </c>
      <c r="C32" s="110">
        <v>0</v>
      </c>
      <c r="D32" s="77">
        <v>-747.5</v>
      </c>
      <c r="E32" s="110">
        <v>0</v>
      </c>
      <c r="F32" s="77">
        <v>0</v>
      </c>
      <c r="G32" s="77">
        <v>0</v>
      </c>
      <c r="H32" s="77">
        <v>0</v>
      </c>
      <c r="I32" s="85"/>
      <c r="J32" s="85"/>
      <c r="K32" s="85"/>
      <c r="L32" s="85"/>
      <c r="M32" s="85"/>
      <c r="N32" s="85"/>
      <c r="O32" s="86">
        <f t="shared" ref="O32:O33" si="6">SUM(C32:N32)</f>
        <v>-747.5</v>
      </c>
      <c r="P32" s="61"/>
      <c r="Q32" s="87">
        <f t="shared" ref="Q32:Q33" si="7">IFERROR(O32/P32,0)</f>
        <v>0</v>
      </c>
      <c r="R32" s="1">
        <v>12</v>
      </c>
    </row>
    <row r="33" spans="2:18" ht="12.75" hidden="1" customHeight="1" x14ac:dyDescent="0.25">
      <c r="B33" s="1" t="str">
        <f>TIP</f>
        <v>Technology Incentive Program (AutoDR-TI)</v>
      </c>
      <c r="C33" s="110">
        <v>0</v>
      </c>
      <c r="D33" s="110">
        <v>0</v>
      </c>
      <c r="E33" s="110">
        <v>0</v>
      </c>
      <c r="F33" s="77">
        <v>0</v>
      </c>
      <c r="G33" s="77">
        <v>0</v>
      </c>
      <c r="H33" s="77">
        <v>0</v>
      </c>
      <c r="I33" s="85"/>
      <c r="J33" s="85"/>
      <c r="K33" s="85"/>
      <c r="L33" s="85"/>
      <c r="M33" s="85"/>
      <c r="N33" s="85"/>
      <c r="O33" s="86">
        <f t="shared" si="6"/>
        <v>0</v>
      </c>
      <c r="P33" s="61"/>
      <c r="Q33" s="87">
        <f t="shared" si="7"/>
        <v>0</v>
      </c>
      <c r="R33" s="1"/>
    </row>
    <row r="34" spans="2:18" x14ac:dyDescent="0.25">
      <c r="B34" s="1"/>
      <c r="C34" s="85"/>
      <c r="D34" s="77"/>
      <c r="E34" s="85"/>
      <c r="F34" s="85"/>
      <c r="G34" s="85"/>
      <c r="H34" s="85"/>
      <c r="I34" s="85"/>
      <c r="J34" s="85"/>
      <c r="K34" s="85"/>
      <c r="L34" s="85"/>
      <c r="M34" s="85"/>
      <c r="N34" s="85"/>
      <c r="O34" s="61"/>
      <c r="P34" s="61"/>
      <c r="Q34" s="95"/>
      <c r="R34" s="1"/>
    </row>
    <row r="35" spans="2:18" x14ac:dyDescent="0.25">
      <c r="B35" s="29" t="s">
        <v>99</v>
      </c>
      <c r="C35" s="85"/>
      <c r="D35" s="77"/>
      <c r="E35" s="85"/>
      <c r="F35" s="85"/>
      <c r="G35" s="85"/>
      <c r="H35" s="85"/>
      <c r="I35" s="85"/>
      <c r="J35" s="85"/>
      <c r="K35" s="85"/>
      <c r="L35" s="85"/>
      <c r="M35" s="85"/>
      <c r="N35" s="85"/>
      <c r="O35" s="61"/>
      <c r="P35" s="61"/>
      <c r="Q35" s="95"/>
      <c r="R35" s="1"/>
    </row>
    <row r="36" spans="2:18" ht="12.75" customHeight="1" x14ac:dyDescent="0.25">
      <c r="B36" s="1" t="str">
        <f>ELRP</f>
        <v>Emergency Load Reduction Program (ELRP)</v>
      </c>
      <c r="C36" s="77">
        <v>125770.53</v>
      </c>
      <c r="D36" s="77">
        <v>-19411.8</v>
      </c>
      <c r="E36" s="77">
        <v>146049.82999999999</v>
      </c>
      <c r="F36" s="77">
        <v>322767.24</v>
      </c>
      <c r="G36" s="77">
        <v>423594.49</v>
      </c>
      <c r="H36" s="220">
        <v>134142.14000000001</v>
      </c>
      <c r="I36" s="85"/>
      <c r="J36" s="85"/>
      <c r="K36" s="85"/>
      <c r="L36" s="85"/>
      <c r="M36" s="85"/>
      <c r="N36" s="85"/>
      <c r="O36" s="86">
        <f t="shared" ref="O36:O38" si="8">SUM(C36:N36)</f>
        <v>1132912.4300000002</v>
      </c>
      <c r="P36" s="61"/>
      <c r="Q36" s="87"/>
      <c r="R36" s="1">
        <v>66</v>
      </c>
    </row>
    <row r="37" spans="2:18" ht="12.75" customHeight="1" x14ac:dyDescent="0.25">
      <c r="B37" s="1" t="str">
        <f>IDSM_NR</f>
        <v>IDSM Non Residential</v>
      </c>
      <c r="C37" s="77">
        <v>2570.87</v>
      </c>
      <c r="D37" s="77">
        <v>2704.1</v>
      </c>
      <c r="E37" s="77">
        <v>3636.98</v>
      </c>
      <c r="F37" s="77">
        <v>1428.66</v>
      </c>
      <c r="G37" s="77">
        <v>2073.8000000000002</v>
      </c>
      <c r="H37" s="77">
        <v>-3854.94</v>
      </c>
      <c r="I37" s="85"/>
      <c r="J37" s="85"/>
      <c r="K37" s="85"/>
      <c r="L37" s="85"/>
      <c r="M37" s="85"/>
      <c r="N37" s="85"/>
      <c r="O37" s="86">
        <f t="shared" si="8"/>
        <v>8559.4699999999993</v>
      </c>
      <c r="P37" s="61"/>
      <c r="Q37" s="87"/>
      <c r="R37" s="1">
        <v>19</v>
      </c>
    </row>
    <row r="38" spans="2:18" ht="12.75" customHeight="1" x14ac:dyDescent="0.25">
      <c r="B38" s="1" t="str">
        <f>IDSM_R</f>
        <v>IDSM Residential</v>
      </c>
      <c r="C38" s="77">
        <v>802.43</v>
      </c>
      <c r="D38" s="77">
        <v>923.38</v>
      </c>
      <c r="E38" s="77">
        <v>1310.3</v>
      </c>
      <c r="F38" s="77">
        <v>964.01</v>
      </c>
      <c r="G38" s="77">
        <v>1152.51</v>
      </c>
      <c r="H38" s="77">
        <v>-5469.12</v>
      </c>
      <c r="I38" s="85"/>
      <c r="J38" s="85"/>
      <c r="K38" s="85"/>
      <c r="L38" s="85"/>
      <c r="M38" s="85"/>
      <c r="N38" s="85"/>
      <c r="O38" s="86">
        <f t="shared" si="8"/>
        <v>-316.48999999999978</v>
      </c>
      <c r="P38" s="61"/>
      <c r="Q38" s="87"/>
      <c r="R38" s="1">
        <v>20</v>
      </c>
    </row>
    <row r="39" spans="2:18" x14ac:dyDescent="0.25">
      <c r="B39" s="1"/>
      <c r="C39" s="85"/>
      <c r="D39" s="77"/>
      <c r="E39" s="85"/>
      <c r="F39" s="85"/>
      <c r="G39" s="85"/>
      <c r="H39" s="85"/>
      <c r="I39" s="85"/>
      <c r="J39" s="85"/>
      <c r="K39" s="85"/>
      <c r="L39" s="85"/>
      <c r="M39" s="85"/>
      <c r="N39" s="85"/>
      <c r="O39" s="61"/>
      <c r="P39" s="61"/>
      <c r="Q39" s="95"/>
      <c r="R39" s="1"/>
    </row>
    <row r="40" spans="2:18" ht="15.75" x14ac:dyDescent="0.25">
      <c r="B40" s="55" t="s">
        <v>141</v>
      </c>
      <c r="C40" s="85"/>
      <c r="D40" s="77"/>
      <c r="E40" s="85"/>
      <c r="F40" s="85"/>
      <c r="G40" s="85"/>
      <c r="H40" s="85"/>
      <c r="I40" s="85"/>
      <c r="J40" s="85"/>
      <c r="K40" s="85"/>
      <c r="L40" s="85"/>
      <c r="M40" s="85"/>
      <c r="N40" s="85"/>
      <c r="O40" s="61"/>
      <c r="P40" s="61"/>
      <c r="Q40" s="95"/>
      <c r="R40" s="1"/>
    </row>
    <row r="41" spans="2:18" ht="12.75" hidden="1" customHeight="1" x14ac:dyDescent="0.25">
      <c r="B41" s="1" t="str">
        <f>OLM</f>
        <v>Other Local Marketing</v>
      </c>
      <c r="C41" s="77">
        <v>0</v>
      </c>
      <c r="D41" s="77">
        <v>0</v>
      </c>
      <c r="E41" s="110">
        <v>0</v>
      </c>
      <c r="F41" s="110">
        <v>0</v>
      </c>
      <c r="G41" s="110">
        <v>0</v>
      </c>
      <c r="H41" s="110">
        <v>0</v>
      </c>
      <c r="I41" s="85"/>
      <c r="J41" s="85"/>
      <c r="K41" s="85"/>
      <c r="L41" s="85"/>
      <c r="M41" s="85"/>
      <c r="N41" s="85"/>
      <c r="O41" s="86">
        <f t="shared" ref="O41:O42" si="9">SUM(C41:N41)</f>
        <v>0</v>
      </c>
      <c r="P41" s="61"/>
      <c r="Q41" s="87">
        <f>IFERROR(O41/P41,0)</f>
        <v>0</v>
      </c>
      <c r="R41" s="1"/>
    </row>
    <row r="42" spans="2:18" x14ac:dyDescent="0.25">
      <c r="B42" s="1" t="str">
        <f>CPP</f>
        <v>Critical Peak Pricing (CPP)</v>
      </c>
      <c r="C42" s="77">
        <v>0</v>
      </c>
      <c r="D42" s="77">
        <v>85.44</v>
      </c>
      <c r="E42" s="77">
        <v>-201040</v>
      </c>
      <c r="F42" s="77">
        <v>143992.69</v>
      </c>
      <c r="G42" s="85">
        <v>35563.160000000003</v>
      </c>
      <c r="H42" s="77">
        <v>-1945.73</v>
      </c>
      <c r="I42" s="85"/>
      <c r="J42" s="85"/>
      <c r="K42" s="85"/>
      <c r="L42" s="85"/>
      <c r="M42" s="85"/>
      <c r="N42" s="85"/>
      <c r="O42" s="86">
        <f t="shared" si="9"/>
        <v>-23344.439999999991</v>
      </c>
      <c r="P42" s="61"/>
      <c r="Q42" s="95"/>
      <c r="R42" s="1">
        <v>67</v>
      </c>
    </row>
    <row r="43" spans="2:18" x14ac:dyDescent="0.25">
      <c r="B43" s="1"/>
      <c r="C43" s="85"/>
      <c r="D43" s="77"/>
      <c r="E43" s="77"/>
      <c r="F43" s="85"/>
      <c r="G43" s="85"/>
      <c r="H43" s="85"/>
      <c r="I43" s="85"/>
      <c r="J43" s="85"/>
      <c r="K43" s="85"/>
      <c r="L43" s="85"/>
      <c r="M43" s="85"/>
      <c r="N43" s="85"/>
      <c r="O43" s="86"/>
      <c r="P43" s="61"/>
      <c r="Q43" s="95"/>
      <c r="R43" s="1"/>
    </row>
    <row r="44" spans="2:18" hidden="1" x14ac:dyDescent="0.25">
      <c r="B44" s="55" t="s">
        <v>142</v>
      </c>
      <c r="C44" s="85"/>
      <c r="D44" s="77"/>
      <c r="E44" s="85"/>
      <c r="F44" s="85"/>
      <c r="G44" s="85"/>
      <c r="H44" s="85"/>
      <c r="I44" s="85"/>
      <c r="J44" s="85"/>
      <c r="K44" s="85"/>
      <c r="L44" s="85"/>
      <c r="M44" s="85"/>
      <c r="N44" s="85"/>
      <c r="O44" s="61"/>
      <c r="P44" s="61"/>
      <c r="Q44" s="95"/>
      <c r="R44" s="1"/>
    </row>
    <row r="45" spans="2:18" ht="12.75" hidden="1" customHeight="1" x14ac:dyDescent="0.25">
      <c r="B45" s="1" t="str">
        <f>DRPS</f>
        <v>DR Potential Study</v>
      </c>
      <c r="C45" s="77">
        <v>0</v>
      </c>
      <c r="D45" s="77">
        <v>0</v>
      </c>
      <c r="E45" s="77">
        <v>0</v>
      </c>
      <c r="F45" s="77">
        <v>0</v>
      </c>
      <c r="G45" s="77">
        <v>0</v>
      </c>
      <c r="H45" s="77">
        <v>0</v>
      </c>
      <c r="I45" s="85"/>
      <c r="J45" s="85"/>
      <c r="K45" s="85"/>
      <c r="L45" s="85"/>
      <c r="M45" s="85"/>
      <c r="N45" s="85"/>
      <c r="O45" s="86">
        <f t="shared" ref="O45:O47" si="10">SUM(C45:N45)</f>
        <v>0</v>
      </c>
      <c r="P45" s="61"/>
      <c r="Q45" s="87">
        <f t="shared" ref="Q45:Q47" si="11">IFERROR(O45/P45,0)</f>
        <v>0</v>
      </c>
      <c r="R45" s="1"/>
    </row>
    <row r="46" spans="2:18" ht="12.75" hidden="1" customHeight="1" x14ac:dyDescent="0.25">
      <c r="B46" s="1" t="str">
        <f>DRST</f>
        <v>DR Systems &amp; Technology Support</v>
      </c>
      <c r="C46" s="77">
        <v>0</v>
      </c>
      <c r="D46" s="77">
        <v>0</v>
      </c>
      <c r="E46" s="77">
        <v>0</v>
      </c>
      <c r="F46" s="77">
        <v>0</v>
      </c>
      <c r="G46" s="77">
        <v>0</v>
      </c>
      <c r="H46" s="77">
        <v>0</v>
      </c>
      <c r="I46" s="85"/>
      <c r="J46" s="85"/>
      <c r="K46" s="85"/>
      <c r="L46" s="85"/>
      <c r="M46" s="85"/>
      <c r="N46" s="85"/>
      <c r="O46" s="86">
        <f t="shared" si="10"/>
        <v>0</v>
      </c>
      <c r="P46" s="61"/>
      <c r="Q46" s="87">
        <f t="shared" si="11"/>
        <v>0</v>
      </c>
      <c r="R46" s="1"/>
    </row>
    <row r="47" spans="2:18" ht="12.75" hidden="1" customHeight="1" x14ac:dyDescent="0.25">
      <c r="B47" s="1" t="str">
        <f>EMV</f>
        <v>Evaluation, Measurement &amp; Verification (EM&amp;V)</v>
      </c>
      <c r="C47" s="77">
        <v>0</v>
      </c>
      <c r="D47" s="77">
        <v>0</v>
      </c>
      <c r="E47" s="77">
        <v>0</v>
      </c>
      <c r="F47" s="77">
        <v>0</v>
      </c>
      <c r="G47" s="77">
        <v>0</v>
      </c>
      <c r="H47" s="77">
        <v>0</v>
      </c>
      <c r="I47" s="85"/>
      <c r="J47" s="85"/>
      <c r="K47" s="85"/>
      <c r="L47" s="85"/>
      <c r="M47" s="85"/>
      <c r="N47" s="85"/>
      <c r="O47" s="86">
        <f t="shared" si="10"/>
        <v>0</v>
      </c>
      <c r="P47" s="61"/>
      <c r="Q47" s="87">
        <f t="shared" si="11"/>
        <v>0</v>
      </c>
      <c r="R47" s="1"/>
    </row>
    <row r="48" spans="2:18" hidden="1" x14ac:dyDescent="0.25">
      <c r="B48" s="1"/>
      <c r="C48" s="85"/>
      <c r="D48" s="77"/>
      <c r="E48" s="85"/>
      <c r="F48" s="85"/>
      <c r="G48" s="85"/>
      <c r="H48" s="85"/>
      <c r="I48" s="85"/>
      <c r="J48" s="85"/>
      <c r="K48" s="85"/>
      <c r="L48" s="85"/>
      <c r="M48" s="85"/>
      <c r="N48" s="85"/>
      <c r="O48" s="61"/>
      <c r="P48" s="61"/>
      <c r="Q48" s="61"/>
      <c r="R48" s="1"/>
    </row>
    <row r="49" spans="2:18" x14ac:dyDescent="0.25">
      <c r="B49" s="96" t="s">
        <v>143</v>
      </c>
      <c r="C49" s="117">
        <f>SUM(C17:C21,C24:C26,C29,C32:C33,C36:C38,C41:C42,C45:C47)</f>
        <v>129143.82999999999</v>
      </c>
      <c r="D49" s="117">
        <f t="shared" ref="D49:N49" si="12">SUM(D17:D21,D24:D26,D29,D32:D33,D36:D38,D41:D42,D45:D47)</f>
        <v>-16446.38</v>
      </c>
      <c r="E49" s="117">
        <f t="shared" si="12"/>
        <v>-50042.890000000014</v>
      </c>
      <c r="F49" s="117">
        <f>SUM(F17:F21,F24:F26,F29,F32:F33,F36:F38,F41:F42,F45:F47)</f>
        <v>469152.6</v>
      </c>
      <c r="G49" s="117">
        <f t="shared" si="12"/>
        <v>462383.95999999996</v>
      </c>
      <c r="H49" s="117">
        <f t="shared" si="12"/>
        <v>122872.35000000002</v>
      </c>
      <c r="I49" s="117">
        <f t="shared" si="12"/>
        <v>0</v>
      </c>
      <c r="J49" s="117">
        <f t="shared" si="12"/>
        <v>0</v>
      </c>
      <c r="K49" s="117">
        <f t="shared" si="12"/>
        <v>0</v>
      </c>
      <c r="L49" s="117">
        <f t="shared" si="12"/>
        <v>0</v>
      </c>
      <c r="M49" s="117">
        <f t="shared" si="12"/>
        <v>0</v>
      </c>
      <c r="N49" s="117">
        <f t="shared" si="12"/>
        <v>0</v>
      </c>
      <c r="O49" s="97">
        <f>SUM(O17:O21,O24:O26,O29,O32:O33,O36:O38,O41:O42,O45:O47)</f>
        <v>1117063.4700000002</v>
      </c>
      <c r="P49" s="97">
        <f t="shared" ref="P49" si="13">SUM(P17:P21,P24:P26,P29,P32:P33,P36:P38,P41:P41,P45:P47)</f>
        <v>0</v>
      </c>
      <c r="Q49" s="66"/>
      <c r="R49" s="1"/>
    </row>
    <row r="50" spans="2:18" x14ac:dyDescent="0.25">
      <c r="B50" s="1"/>
      <c r="C50" s="1"/>
      <c r="D50" s="1"/>
      <c r="E50" s="1"/>
      <c r="F50" s="1"/>
      <c r="G50" s="1"/>
      <c r="H50" s="1"/>
      <c r="I50" s="1"/>
      <c r="J50" s="1"/>
      <c r="K50" s="1"/>
      <c r="L50" s="1"/>
      <c r="M50" s="1"/>
      <c r="N50" s="1"/>
      <c r="O50" s="1"/>
      <c r="P50" s="1"/>
      <c r="Q50" s="1"/>
      <c r="R50" s="1"/>
    </row>
    <row r="51" spans="2:18" x14ac:dyDescent="0.25">
      <c r="B51" s="2" t="s">
        <v>144</v>
      </c>
      <c r="C51" s="1"/>
      <c r="D51" s="1"/>
      <c r="E51" s="1"/>
      <c r="F51" s="1"/>
      <c r="G51" s="1"/>
      <c r="H51" s="1"/>
      <c r="I51" s="1"/>
      <c r="J51" s="1"/>
      <c r="K51" s="1"/>
      <c r="L51" s="1"/>
      <c r="M51" s="1"/>
      <c r="N51" s="1"/>
      <c r="O51" s="1"/>
      <c r="P51" s="1"/>
      <c r="Q51" s="1"/>
      <c r="R51" s="1"/>
    </row>
    <row r="52" spans="2:18" x14ac:dyDescent="0.25">
      <c r="B52" s="1"/>
      <c r="C52" s="1"/>
      <c r="D52" s="1"/>
      <c r="E52" s="1"/>
      <c r="F52" s="1"/>
      <c r="G52" s="1"/>
      <c r="H52" s="1"/>
      <c r="I52" s="1"/>
      <c r="J52" s="1"/>
      <c r="K52" s="1"/>
      <c r="L52" s="1"/>
      <c r="M52" s="1"/>
      <c r="N52" s="1"/>
      <c r="O52" s="1"/>
      <c r="P52" s="1"/>
      <c r="Q52" s="1"/>
      <c r="R52" s="1"/>
    </row>
    <row r="53" spans="2:18" x14ac:dyDescent="0.25">
      <c r="B53" s="98" t="str">
        <f>API</f>
        <v>Agricultural &amp; Pumping Interruptible (API)</v>
      </c>
      <c r="C53" s="35"/>
      <c r="D53" s="35"/>
      <c r="E53" s="35"/>
      <c r="F53" s="35"/>
      <c r="G53" s="35"/>
      <c r="H53" s="35"/>
      <c r="I53" s="35"/>
      <c r="J53" s="35"/>
      <c r="K53" s="35"/>
      <c r="L53" s="35"/>
      <c r="M53" s="35"/>
      <c r="N53" s="35"/>
      <c r="O53" s="35"/>
      <c r="P53" s="99">
        <v>0</v>
      </c>
      <c r="Q53" s="35"/>
      <c r="R53" s="1"/>
    </row>
    <row r="54" spans="2:18" x14ac:dyDescent="0.25">
      <c r="B54" s="1" t="s">
        <v>145</v>
      </c>
      <c r="C54" s="77">
        <v>0</v>
      </c>
      <c r="D54" s="77">
        <v>0</v>
      </c>
      <c r="E54" s="77">
        <v>0</v>
      </c>
      <c r="F54" s="77">
        <v>0</v>
      </c>
      <c r="G54" s="77">
        <v>0</v>
      </c>
      <c r="H54" s="77">
        <v>0</v>
      </c>
      <c r="I54" s="77"/>
      <c r="J54" s="77"/>
      <c r="K54" s="77"/>
      <c r="L54" s="77"/>
      <c r="M54" s="77"/>
      <c r="N54" s="77"/>
      <c r="O54" s="100">
        <f t="shared" ref="O54:O58" si="14">SUM(C54:N54)</f>
        <v>0</v>
      </c>
      <c r="P54" s="61"/>
      <c r="Q54" s="61"/>
      <c r="R54" s="1"/>
    </row>
    <row r="55" spans="2:18" x14ac:dyDescent="0.25">
      <c r="B55" s="1" t="s">
        <v>146</v>
      </c>
      <c r="C55" s="77">
        <v>0</v>
      </c>
      <c r="D55" s="77">
        <v>0</v>
      </c>
      <c r="E55" s="77">
        <v>20028.349999999999</v>
      </c>
      <c r="F55" s="77">
        <v>2732.31</v>
      </c>
      <c r="G55" s="77">
        <v>-5628.04</v>
      </c>
      <c r="H55" s="77">
        <v>19493.099999999999</v>
      </c>
      <c r="I55" s="77"/>
      <c r="J55" s="77"/>
      <c r="K55" s="77"/>
      <c r="L55" s="77"/>
      <c r="M55" s="77"/>
      <c r="N55" s="77"/>
      <c r="O55" s="86">
        <f t="shared" si="14"/>
        <v>36625.72</v>
      </c>
      <c r="P55" s="61"/>
      <c r="Q55" s="61"/>
      <c r="R55" s="1">
        <v>22</v>
      </c>
    </row>
    <row r="56" spans="2:18" x14ac:dyDescent="0.25">
      <c r="B56" s="1" t="s">
        <v>147</v>
      </c>
      <c r="C56" s="77">
        <v>0</v>
      </c>
      <c r="D56" s="77">
        <v>0</v>
      </c>
      <c r="E56" s="77">
        <v>0</v>
      </c>
      <c r="F56" s="77">
        <v>0</v>
      </c>
      <c r="G56" s="77">
        <v>0</v>
      </c>
      <c r="H56" s="77">
        <v>0</v>
      </c>
      <c r="I56" s="77"/>
      <c r="J56" s="77"/>
      <c r="K56" s="77"/>
      <c r="L56" s="77"/>
      <c r="M56" s="77"/>
      <c r="N56" s="77"/>
      <c r="O56" s="86">
        <f t="shared" si="14"/>
        <v>0</v>
      </c>
      <c r="P56" s="61"/>
      <c r="Q56" s="61"/>
      <c r="R56" s="1"/>
    </row>
    <row r="57" spans="2:18" x14ac:dyDescent="0.25">
      <c r="B57" s="1" t="s">
        <v>148</v>
      </c>
      <c r="C57" s="77">
        <v>0</v>
      </c>
      <c r="D57" s="77">
        <v>0</v>
      </c>
      <c r="E57" s="77">
        <v>0</v>
      </c>
      <c r="F57" s="77">
        <v>0</v>
      </c>
      <c r="G57" s="77">
        <v>0</v>
      </c>
      <c r="H57" s="77">
        <v>375.3</v>
      </c>
      <c r="I57" s="77"/>
      <c r="J57" s="77"/>
      <c r="K57" s="77"/>
      <c r="L57" s="77"/>
      <c r="M57" s="77"/>
      <c r="N57" s="77"/>
      <c r="O57" s="86">
        <f t="shared" si="14"/>
        <v>375.3</v>
      </c>
      <c r="P57" s="61"/>
      <c r="Q57" s="61"/>
      <c r="R57" s="1">
        <v>24</v>
      </c>
    </row>
    <row r="58" spans="2:18" x14ac:dyDescent="0.25">
      <c r="B58" s="35" t="s">
        <v>149</v>
      </c>
      <c r="C58" s="81">
        <v>0</v>
      </c>
      <c r="D58" s="81">
        <v>0</v>
      </c>
      <c r="E58" s="81">
        <v>0.15</v>
      </c>
      <c r="F58" s="81">
        <v>6.14</v>
      </c>
      <c r="G58" s="81">
        <v>66.41</v>
      </c>
      <c r="H58" s="81">
        <v>11.47</v>
      </c>
      <c r="I58" s="81"/>
      <c r="J58" s="81"/>
      <c r="K58" s="81"/>
      <c r="L58" s="81"/>
      <c r="M58" s="81"/>
      <c r="N58" s="81"/>
      <c r="O58" s="101">
        <f t="shared" si="14"/>
        <v>84.17</v>
      </c>
      <c r="P58" s="60"/>
      <c r="Q58" s="60"/>
      <c r="R58" s="1">
        <v>25</v>
      </c>
    </row>
    <row r="59" spans="2:18" x14ac:dyDescent="0.25">
      <c r="B59" s="1"/>
      <c r="C59" s="1"/>
      <c r="D59" s="1"/>
      <c r="E59" s="1"/>
      <c r="F59" s="1"/>
      <c r="G59" s="1"/>
      <c r="H59" s="1"/>
      <c r="I59" s="1"/>
      <c r="J59" s="1"/>
      <c r="K59" s="1"/>
      <c r="L59" s="1"/>
      <c r="M59" s="1"/>
      <c r="N59" s="1"/>
      <c r="O59" s="1"/>
      <c r="P59" s="1"/>
      <c r="Q59" s="1"/>
      <c r="R59" s="1"/>
    </row>
    <row r="60" spans="2:18" x14ac:dyDescent="0.25">
      <c r="B60" s="98" t="str">
        <f>BIPG</f>
        <v>Base Interruptible Program (BIP)</v>
      </c>
      <c r="C60" s="35"/>
      <c r="D60" s="35"/>
      <c r="E60" s="35"/>
      <c r="F60" s="35"/>
      <c r="G60" s="35"/>
      <c r="H60" s="35"/>
      <c r="I60" s="35"/>
      <c r="J60" s="35"/>
      <c r="K60" s="35"/>
      <c r="L60" s="35"/>
      <c r="M60" s="35"/>
      <c r="N60" s="35"/>
      <c r="O60" s="35"/>
      <c r="P60" s="99">
        <v>0</v>
      </c>
      <c r="Q60" s="35"/>
      <c r="R60" s="1"/>
    </row>
    <row r="61" spans="2:18" x14ac:dyDescent="0.25">
      <c r="B61" s="1" t="s">
        <v>145</v>
      </c>
      <c r="C61" s="77">
        <v>0</v>
      </c>
      <c r="D61" s="77">
        <v>0</v>
      </c>
      <c r="E61" s="77">
        <v>0</v>
      </c>
      <c r="F61" s="77">
        <v>0</v>
      </c>
      <c r="G61" s="77">
        <v>0</v>
      </c>
      <c r="H61" s="77">
        <v>0</v>
      </c>
      <c r="I61" s="77"/>
      <c r="J61" s="77"/>
      <c r="K61" s="77"/>
      <c r="L61" s="77"/>
      <c r="M61" s="77"/>
      <c r="N61" s="77"/>
      <c r="O61" s="86">
        <f t="shared" ref="O61:O65" si="15">SUM(C61:N61)</f>
        <v>0</v>
      </c>
      <c r="P61" s="61"/>
      <c r="Q61" s="61"/>
      <c r="R61" s="1"/>
    </row>
    <row r="62" spans="2:18" x14ac:dyDescent="0.25">
      <c r="B62" s="1" t="s">
        <v>146</v>
      </c>
      <c r="C62" s="77">
        <v>0</v>
      </c>
      <c r="D62" s="77">
        <v>0</v>
      </c>
      <c r="E62" s="77">
        <v>2028.35</v>
      </c>
      <c r="F62" s="77">
        <v>2580.31</v>
      </c>
      <c r="G62" s="77">
        <v>11952.28</v>
      </c>
      <c r="H62" s="77">
        <v>1831.19</v>
      </c>
      <c r="I62" s="77"/>
      <c r="J62" s="77"/>
      <c r="K62" s="77"/>
      <c r="L62" s="77"/>
      <c r="M62" s="77"/>
      <c r="N62" s="77"/>
      <c r="O62" s="86">
        <f t="shared" si="15"/>
        <v>18392.13</v>
      </c>
      <c r="P62" s="61"/>
      <c r="Q62" s="61"/>
      <c r="R62" s="1">
        <v>27</v>
      </c>
    </row>
    <row r="63" spans="2:18" x14ac:dyDescent="0.25">
      <c r="B63" s="1" t="s">
        <v>147</v>
      </c>
      <c r="C63" s="77">
        <v>0</v>
      </c>
      <c r="D63" s="77">
        <v>0</v>
      </c>
      <c r="E63" s="77">
        <v>0</v>
      </c>
      <c r="F63" s="77">
        <v>0</v>
      </c>
      <c r="G63" s="77">
        <v>0</v>
      </c>
      <c r="H63" s="77">
        <v>0</v>
      </c>
      <c r="I63" s="77"/>
      <c r="J63" s="77"/>
      <c r="K63" s="77"/>
      <c r="L63" s="77"/>
      <c r="M63" s="77"/>
      <c r="N63" s="77"/>
      <c r="O63" s="86">
        <f t="shared" si="15"/>
        <v>0</v>
      </c>
      <c r="P63" s="61"/>
      <c r="Q63" s="61"/>
      <c r="R63" s="1"/>
    </row>
    <row r="64" spans="2:18" x14ac:dyDescent="0.25">
      <c r="B64" s="1" t="s">
        <v>148</v>
      </c>
      <c r="C64" s="77">
        <v>0</v>
      </c>
      <c r="D64" s="77">
        <v>0</v>
      </c>
      <c r="E64" s="77">
        <v>0</v>
      </c>
      <c r="F64" s="77">
        <v>0</v>
      </c>
      <c r="G64" s="77">
        <v>0</v>
      </c>
      <c r="H64" s="77">
        <v>375.3</v>
      </c>
      <c r="I64" s="77"/>
      <c r="J64" s="77"/>
      <c r="K64" s="77"/>
      <c r="L64" s="77"/>
      <c r="M64" s="77"/>
      <c r="N64" s="77"/>
      <c r="O64" s="86">
        <f t="shared" si="15"/>
        <v>375.3</v>
      </c>
      <c r="P64" s="61"/>
      <c r="Q64" s="61"/>
      <c r="R64" s="1">
        <v>29</v>
      </c>
    </row>
    <row r="65" spans="2:18" x14ac:dyDescent="0.25">
      <c r="B65" s="35" t="s">
        <v>149</v>
      </c>
      <c r="C65" s="81">
        <v>0</v>
      </c>
      <c r="D65" s="81">
        <v>0</v>
      </c>
      <c r="E65" s="81">
        <v>0.15</v>
      </c>
      <c r="F65" s="81">
        <v>6.14</v>
      </c>
      <c r="G65" s="81">
        <v>64.23</v>
      </c>
      <c r="H65" s="81">
        <v>11.47</v>
      </c>
      <c r="I65" s="81"/>
      <c r="J65" s="81"/>
      <c r="K65" s="81"/>
      <c r="L65" s="81"/>
      <c r="M65" s="81"/>
      <c r="N65" s="81"/>
      <c r="O65" s="101">
        <f t="shared" si="15"/>
        <v>81.990000000000009</v>
      </c>
      <c r="P65" s="60"/>
      <c r="Q65" s="60"/>
      <c r="R65" s="1">
        <v>30</v>
      </c>
    </row>
    <row r="66" spans="2:18" x14ac:dyDescent="0.25">
      <c r="B66" s="1"/>
      <c r="C66" s="77"/>
      <c r="D66" s="77"/>
      <c r="E66" s="77"/>
      <c r="F66" s="77"/>
      <c r="G66" s="77"/>
      <c r="H66" s="77"/>
      <c r="I66" s="77"/>
      <c r="J66" s="77"/>
      <c r="K66" s="77"/>
      <c r="L66" s="77"/>
      <c r="M66" s="77"/>
      <c r="N66" s="77"/>
      <c r="O66" s="1"/>
      <c r="P66" s="1"/>
      <c r="Q66" s="1"/>
      <c r="R66" s="1"/>
    </row>
    <row r="67" spans="2:18" hidden="1" x14ac:dyDescent="0.25">
      <c r="B67" s="98" t="str">
        <f>SLRP</f>
        <v>Scheduled Load Reduction Program (SLRP)</v>
      </c>
      <c r="C67" s="81"/>
      <c r="D67" s="81"/>
      <c r="E67" s="81"/>
      <c r="F67" s="81"/>
      <c r="G67" s="81"/>
      <c r="H67" s="81"/>
      <c r="I67" s="81"/>
      <c r="J67" s="81"/>
      <c r="K67" s="81"/>
      <c r="L67" s="81"/>
      <c r="M67" s="81"/>
      <c r="N67" s="81"/>
      <c r="O67" s="35"/>
      <c r="P67" s="99">
        <v>0</v>
      </c>
      <c r="Q67" s="35"/>
      <c r="R67" s="1"/>
    </row>
    <row r="68" spans="2:18" hidden="1" x14ac:dyDescent="0.25">
      <c r="B68" s="1" t="s">
        <v>145</v>
      </c>
      <c r="C68" s="77">
        <v>0</v>
      </c>
      <c r="D68" s="77">
        <v>0</v>
      </c>
      <c r="E68" s="77">
        <v>0</v>
      </c>
      <c r="F68" s="77">
        <v>0</v>
      </c>
      <c r="G68" s="77">
        <v>0</v>
      </c>
      <c r="H68" s="77">
        <v>0</v>
      </c>
      <c r="I68" s="77"/>
      <c r="J68" s="77"/>
      <c r="K68" s="77"/>
      <c r="L68" s="77"/>
      <c r="M68" s="77"/>
      <c r="N68" s="77"/>
      <c r="O68" s="86">
        <f t="shared" ref="O68:O72" si="16">SUM(C68:N68)</f>
        <v>0</v>
      </c>
      <c r="P68" s="61"/>
      <c r="Q68" s="61"/>
      <c r="R68" s="1"/>
    </row>
    <row r="69" spans="2:18" hidden="1" x14ac:dyDescent="0.25">
      <c r="B69" s="1" t="s">
        <v>146</v>
      </c>
      <c r="C69" s="77">
        <v>0</v>
      </c>
      <c r="D69" s="77">
        <v>0</v>
      </c>
      <c r="E69" s="77">
        <v>0</v>
      </c>
      <c r="F69" s="77">
        <v>0</v>
      </c>
      <c r="G69" s="77">
        <v>0</v>
      </c>
      <c r="H69" s="77">
        <v>0</v>
      </c>
      <c r="I69" s="77"/>
      <c r="J69" s="77"/>
      <c r="K69" s="77"/>
      <c r="L69" s="77"/>
      <c r="M69" s="77"/>
      <c r="N69" s="77"/>
      <c r="O69" s="86">
        <f t="shared" si="16"/>
        <v>0</v>
      </c>
      <c r="P69" s="61"/>
      <c r="Q69" s="61"/>
      <c r="R69" s="1"/>
    </row>
    <row r="70" spans="2:18" hidden="1" x14ac:dyDescent="0.25">
      <c r="B70" s="1" t="s">
        <v>147</v>
      </c>
      <c r="C70" s="77">
        <v>0</v>
      </c>
      <c r="D70" s="77">
        <v>0</v>
      </c>
      <c r="E70" s="77">
        <v>0</v>
      </c>
      <c r="F70" s="77">
        <v>0</v>
      </c>
      <c r="G70" s="77">
        <v>0</v>
      </c>
      <c r="H70" s="77">
        <v>0</v>
      </c>
      <c r="I70" s="77"/>
      <c r="J70" s="77"/>
      <c r="K70" s="77"/>
      <c r="L70" s="77"/>
      <c r="M70" s="77"/>
      <c r="N70" s="77"/>
      <c r="O70" s="86">
        <f t="shared" si="16"/>
        <v>0</v>
      </c>
      <c r="P70" s="61"/>
      <c r="Q70" s="61"/>
      <c r="R70" s="1"/>
    </row>
    <row r="71" spans="2:18" hidden="1" x14ac:dyDescent="0.25">
      <c r="B71" s="1" t="s">
        <v>148</v>
      </c>
      <c r="C71" s="77">
        <v>0</v>
      </c>
      <c r="D71" s="77">
        <v>0</v>
      </c>
      <c r="E71" s="77">
        <v>0</v>
      </c>
      <c r="F71" s="77">
        <v>0</v>
      </c>
      <c r="G71" s="77">
        <v>0</v>
      </c>
      <c r="H71" s="77">
        <v>0</v>
      </c>
      <c r="I71" s="77"/>
      <c r="J71" s="77"/>
      <c r="K71" s="77"/>
      <c r="L71" s="77"/>
      <c r="M71" s="77"/>
      <c r="N71" s="77"/>
      <c r="O71" s="86">
        <f t="shared" si="16"/>
        <v>0</v>
      </c>
      <c r="P71" s="61"/>
      <c r="Q71" s="61"/>
      <c r="R71" s="1"/>
    </row>
    <row r="72" spans="2:18" hidden="1" x14ac:dyDescent="0.25">
      <c r="B72" s="35" t="s">
        <v>149</v>
      </c>
      <c r="C72" s="81">
        <v>0</v>
      </c>
      <c r="D72" s="81">
        <v>0</v>
      </c>
      <c r="E72" s="81">
        <v>0</v>
      </c>
      <c r="F72" s="81">
        <v>0</v>
      </c>
      <c r="G72" s="81">
        <v>0</v>
      </c>
      <c r="H72" s="81">
        <v>0</v>
      </c>
      <c r="I72" s="81"/>
      <c r="J72" s="81"/>
      <c r="K72" s="81"/>
      <c r="L72" s="81"/>
      <c r="M72" s="81"/>
      <c r="N72" s="81"/>
      <c r="O72" s="101">
        <f t="shared" si="16"/>
        <v>0</v>
      </c>
      <c r="P72" s="60"/>
      <c r="Q72" s="60"/>
      <c r="R72" s="1"/>
    </row>
    <row r="73" spans="2:18" hidden="1" x14ac:dyDescent="0.25">
      <c r="B73" s="1"/>
      <c r="C73" s="77"/>
      <c r="D73" s="77"/>
      <c r="E73" s="77"/>
      <c r="F73" s="77"/>
      <c r="G73" s="77"/>
      <c r="H73" s="77"/>
      <c r="I73" s="77"/>
      <c r="J73" s="77"/>
      <c r="K73" s="77"/>
      <c r="L73" s="77"/>
      <c r="M73" s="77"/>
      <c r="N73" s="77"/>
      <c r="O73" s="1"/>
      <c r="P73" s="1"/>
      <c r="Q73" s="1"/>
      <c r="R73" s="1"/>
    </row>
    <row r="74" spans="2:18" x14ac:dyDescent="0.25">
      <c r="B74" s="98" t="str">
        <f>SEP</f>
        <v>Smart Energy Program (SEP)</v>
      </c>
      <c r="C74" s="81"/>
      <c r="D74" s="81"/>
      <c r="E74" s="81"/>
      <c r="F74" s="81"/>
      <c r="G74" s="81"/>
      <c r="H74" s="81"/>
      <c r="I74" s="81"/>
      <c r="J74" s="81"/>
      <c r="K74" s="81"/>
      <c r="L74" s="81"/>
      <c r="M74" s="81"/>
      <c r="N74" s="81"/>
      <c r="O74" s="35"/>
      <c r="P74" s="99">
        <v>0</v>
      </c>
      <c r="Q74" s="35"/>
      <c r="R74" s="1"/>
    </row>
    <row r="75" spans="2:18" x14ac:dyDescent="0.25">
      <c r="B75" s="1" t="s">
        <v>145</v>
      </c>
      <c r="C75" s="77">
        <v>0</v>
      </c>
      <c r="D75" s="77">
        <v>0</v>
      </c>
      <c r="E75" s="77">
        <v>0</v>
      </c>
      <c r="F75" s="77">
        <v>0</v>
      </c>
      <c r="G75" s="77">
        <v>0</v>
      </c>
      <c r="H75" s="77">
        <v>0</v>
      </c>
      <c r="I75" s="77"/>
      <c r="J75" s="77"/>
      <c r="K75" s="77"/>
      <c r="L75" s="77"/>
      <c r="M75" s="77"/>
      <c r="N75" s="77"/>
      <c r="O75" s="86">
        <f t="shared" ref="O75:O79" si="17">SUM(C75:N75)</f>
        <v>0</v>
      </c>
      <c r="P75" s="61"/>
      <c r="Q75" s="61"/>
      <c r="R75" s="1"/>
    </row>
    <row r="76" spans="2:18" x14ac:dyDescent="0.25">
      <c r="B76" s="1" t="s">
        <v>146</v>
      </c>
      <c r="C76" s="77">
        <v>-177980.02</v>
      </c>
      <c r="D76" s="77">
        <v>-53192.13</v>
      </c>
      <c r="E76" s="77">
        <v>50531.67</v>
      </c>
      <c r="F76" s="77">
        <v>23847.200000000001</v>
      </c>
      <c r="G76" s="77">
        <v>100043.85</v>
      </c>
      <c r="H76" s="77">
        <v>100910.51</v>
      </c>
      <c r="I76" s="77"/>
      <c r="J76" s="77"/>
      <c r="K76" s="77"/>
      <c r="L76" s="77"/>
      <c r="M76" s="77"/>
      <c r="N76" s="77"/>
      <c r="O76" s="86">
        <f t="shared" si="17"/>
        <v>44161.080000000031</v>
      </c>
      <c r="P76" s="61"/>
      <c r="Q76" s="61"/>
      <c r="R76" s="1">
        <v>42</v>
      </c>
    </row>
    <row r="77" spans="2:18" x14ac:dyDescent="0.25">
      <c r="B77" s="1" t="s">
        <v>147</v>
      </c>
      <c r="C77" s="77">
        <v>3439.81</v>
      </c>
      <c r="D77" s="77">
        <v>-7423.71</v>
      </c>
      <c r="E77" s="77">
        <v>3248.34</v>
      </c>
      <c r="F77" s="77">
        <v>0</v>
      </c>
      <c r="G77" s="77">
        <v>0</v>
      </c>
      <c r="H77" s="77">
        <v>0</v>
      </c>
      <c r="I77" s="77"/>
      <c r="J77" s="77"/>
      <c r="K77" s="77"/>
      <c r="L77" s="77"/>
      <c r="M77" s="77"/>
      <c r="N77" s="77"/>
      <c r="O77" s="86">
        <f t="shared" si="17"/>
        <v>-735.56</v>
      </c>
      <c r="P77" s="61"/>
      <c r="Q77" s="61"/>
      <c r="R77" s="1">
        <v>43</v>
      </c>
    </row>
    <row r="78" spans="2:18" x14ac:dyDescent="0.25">
      <c r="B78" s="1" t="s">
        <v>148</v>
      </c>
      <c r="C78" s="77">
        <v>0</v>
      </c>
      <c r="D78" s="77">
        <v>5357</v>
      </c>
      <c r="E78" s="77">
        <v>500489.54</v>
      </c>
      <c r="F78" s="77">
        <v>0</v>
      </c>
      <c r="G78" s="77">
        <v>0</v>
      </c>
      <c r="H78" s="77">
        <v>8734.7000000000007</v>
      </c>
      <c r="I78" s="77"/>
      <c r="J78" s="77"/>
      <c r="K78" s="77"/>
      <c r="L78" s="77"/>
      <c r="M78" s="77"/>
      <c r="N78" s="77"/>
      <c r="O78" s="86">
        <f t="shared" si="17"/>
        <v>514581.24</v>
      </c>
      <c r="P78" s="61"/>
      <c r="Q78" s="61"/>
      <c r="R78" s="1">
        <v>44</v>
      </c>
    </row>
    <row r="79" spans="2:18" x14ac:dyDescent="0.25">
      <c r="B79" s="35" t="s">
        <v>149</v>
      </c>
      <c r="C79" s="81">
        <v>266.19</v>
      </c>
      <c r="D79" s="81">
        <v>433.37</v>
      </c>
      <c r="E79" s="81">
        <v>2676.56</v>
      </c>
      <c r="F79" s="81">
        <v>58.49</v>
      </c>
      <c r="G79" s="81">
        <v>538.95000000000005</v>
      </c>
      <c r="H79" s="81">
        <v>468.77</v>
      </c>
      <c r="I79" s="81"/>
      <c r="J79" s="81"/>
      <c r="K79" s="81"/>
      <c r="L79" s="81"/>
      <c r="M79" s="81"/>
      <c r="N79" s="81"/>
      <c r="O79" s="101">
        <f t="shared" si="17"/>
        <v>4442.33</v>
      </c>
      <c r="P79" s="60"/>
      <c r="Q79" s="60"/>
      <c r="R79" s="1">
        <v>45</v>
      </c>
    </row>
    <row r="80" spans="2:18" x14ac:dyDescent="0.25">
      <c r="B80" s="1"/>
      <c r="C80" s="77"/>
      <c r="D80" s="77"/>
      <c r="E80" s="77"/>
      <c r="F80" s="77"/>
      <c r="G80" s="77"/>
      <c r="H80" s="77"/>
      <c r="I80" s="77"/>
      <c r="J80" s="77"/>
      <c r="K80" s="77"/>
      <c r="L80" s="77"/>
      <c r="M80" s="77"/>
      <c r="N80" s="77"/>
      <c r="O80" s="1"/>
      <c r="P80" s="1"/>
      <c r="Q80" s="1"/>
      <c r="R80" s="1"/>
    </row>
    <row r="81" spans="2:18" x14ac:dyDescent="0.25">
      <c r="B81" s="98" t="str">
        <f>SDPG</f>
        <v>Summer Discount Plan Program (SDP)</v>
      </c>
      <c r="C81" s="81"/>
      <c r="D81" s="81"/>
      <c r="E81" s="81"/>
      <c r="F81" s="81"/>
      <c r="G81" s="81"/>
      <c r="H81" s="81"/>
      <c r="I81" s="81"/>
      <c r="J81" s="81"/>
      <c r="K81" s="81"/>
      <c r="L81" s="81"/>
      <c r="M81" s="81"/>
      <c r="N81" s="81"/>
      <c r="O81" s="35"/>
      <c r="P81" s="99">
        <v>0</v>
      </c>
      <c r="Q81" s="35"/>
      <c r="R81" s="1"/>
    </row>
    <row r="82" spans="2:18" x14ac:dyDescent="0.25">
      <c r="B82" s="1" t="s">
        <v>145</v>
      </c>
      <c r="C82" s="77">
        <v>0</v>
      </c>
      <c r="D82" s="77">
        <v>0</v>
      </c>
      <c r="E82" s="77">
        <v>0</v>
      </c>
      <c r="F82" s="77">
        <v>0</v>
      </c>
      <c r="G82" s="77">
        <v>0</v>
      </c>
      <c r="H82" s="77">
        <v>0</v>
      </c>
      <c r="I82" s="77"/>
      <c r="J82" s="77"/>
      <c r="K82" s="77"/>
      <c r="L82" s="77"/>
      <c r="M82" s="77"/>
      <c r="N82" s="77"/>
      <c r="O82" s="86">
        <f t="shared" ref="O82:O86" si="18">SUM(C82:N82)</f>
        <v>0</v>
      </c>
      <c r="P82" s="61"/>
      <c r="Q82" s="61"/>
      <c r="R82" s="1">
        <v>46</v>
      </c>
    </row>
    <row r="83" spans="2:18" x14ac:dyDescent="0.25">
      <c r="B83" s="1" t="s">
        <v>146</v>
      </c>
      <c r="C83" s="77">
        <v>22000</v>
      </c>
      <c r="D83" s="77">
        <v>-17581.400000000001</v>
      </c>
      <c r="E83" s="77">
        <v>1521.22</v>
      </c>
      <c r="F83" s="77">
        <v>790389.71</v>
      </c>
      <c r="G83" s="77">
        <v>176806.49</v>
      </c>
      <c r="H83" s="77">
        <v>167213.76999999999</v>
      </c>
      <c r="I83" s="77"/>
      <c r="J83" s="77"/>
      <c r="K83" s="77"/>
      <c r="L83" s="77"/>
      <c r="M83" s="77"/>
      <c r="N83" s="77"/>
      <c r="O83" s="86">
        <f t="shared" si="18"/>
        <v>1140349.7899999998</v>
      </c>
      <c r="P83" s="61"/>
      <c r="Q83" s="61"/>
      <c r="R83" s="1">
        <v>47</v>
      </c>
    </row>
    <row r="84" spans="2:18" x14ac:dyDescent="0.25">
      <c r="B84" s="1" t="s">
        <v>147</v>
      </c>
      <c r="C84" s="77">
        <v>4745.71</v>
      </c>
      <c r="D84" s="77">
        <v>5028.8</v>
      </c>
      <c r="E84" s="77">
        <v>5163.96</v>
      </c>
      <c r="F84" s="77">
        <v>3058.97</v>
      </c>
      <c r="G84" s="77">
        <v>2240.21</v>
      </c>
      <c r="H84" s="77">
        <v>7090.79</v>
      </c>
      <c r="I84" s="77"/>
      <c r="J84" s="77"/>
      <c r="K84" s="77"/>
      <c r="L84" s="77"/>
      <c r="M84" s="77"/>
      <c r="N84" s="77"/>
      <c r="O84" s="86">
        <f t="shared" si="18"/>
        <v>27328.440000000002</v>
      </c>
      <c r="P84" s="61"/>
      <c r="Q84" s="61"/>
      <c r="R84" s="1">
        <v>48</v>
      </c>
    </row>
    <row r="85" spans="2:18" x14ac:dyDescent="0.25">
      <c r="B85" s="1" t="s">
        <v>148</v>
      </c>
      <c r="C85" s="77">
        <v>0</v>
      </c>
      <c r="D85" s="77">
        <v>0</v>
      </c>
      <c r="E85" s="77">
        <v>0</v>
      </c>
      <c r="F85" s="77">
        <v>0</v>
      </c>
      <c r="G85" s="77">
        <v>0</v>
      </c>
      <c r="H85" s="77">
        <v>3377.7</v>
      </c>
      <c r="I85" s="77"/>
      <c r="J85" s="77"/>
      <c r="K85" s="77"/>
      <c r="L85" s="77"/>
      <c r="M85" s="77"/>
      <c r="N85" s="77"/>
      <c r="O85" s="86">
        <f t="shared" si="18"/>
        <v>3377.7</v>
      </c>
      <c r="P85" s="61"/>
      <c r="Q85" s="61"/>
      <c r="R85" s="1">
        <v>49</v>
      </c>
    </row>
    <row r="86" spans="2:18" x14ac:dyDescent="0.25">
      <c r="B86" s="35" t="s">
        <v>149</v>
      </c>
      <c r="C86" s="81">
        <v>4.8099999999999996</v>
      </c>
      <c r="D86" s="81">
        <v>28.57</v>
      </c>
      <c r="E86" s="81">
        <v>122.31</v>
      </c>
      <c r="F86" s="81">
        <v>2261.21</v>
      </c>
      <c r="G86" s="81">
        <v>844.51</v>
      </c>
      <c r="H86" s="81">
        <v>439.16</v>
      </c>
      <c r="I86" s="81"/>
      <c r="J86" s="81"/>
      <c r="K86" s="81"/>
      <c r="L86" s="81"/>
      <c r="M86" s="81"/>
      <c r="N86" s="81"/>
      <c r="O86" s="101">
        <f t="shared" si="18"/>
        <v>3700.5699999999997</v>
      </c>
      <c r="P86" s="60"/>
      <c r="Q86" s="60"/>
      <c r="R86" s="1">
        <v>50</v>
      </c>
    </row>
    <row r="87" spans="2:18" hidden="1" x14ac:dyDescent="0.25">
      <c r="B87" s="1"/>
      <c r="C87" s="77"/>
      <c r="D87" s="77"/>
      <c r="E87" s="77"/>
      <c r="F87" s="77"/>
      <c r="G87" s="77"/>
      <c r="H87" s="77"/>
      <c r="I87" s="77"/>
      <c r="J87" s="77"/>
      <c r="K87" s="77"/>
      <c r="L87" s="77"/>
      <c r="M87" s="77"/>
      <c r="N87" s="77"/>
      <c r="O87" s="1"/>
      <c r="P87" s="1"/>
      <c r="Q87" s="1"/>
      <c r="R87" s="1"/>
    </row>
    <row r="88" spans="2:18" hidden="1" x14ac:dyDescent="0.25">
      <c r="B88" s="98" t="str">
        <f>TIP</f>
        <v>Technology Incentive Program (AutoDR-TI)</v>
      </c>
      <c r="C88" s="81"/>
      <c r="D88" s="81"/>
      <c r="E88" s="81"/>
      <c r="F88" s="81"/>
      <c r="G88" s="81"/>
      <c r="H88" s="81"/>
      <c r="I88" s="81"/>
      <c r="J88" s="81"/>
      <c r="K88" s="81"/>
      <c r="L88" s="81"/>
      <c r="M88" s="81"/>
      <c r="N88" s="81"/>
      <c r="O88" s="35"/>
      <c r="P88" s="99">
        <v>0</v>
      </c>
      <c r="Q88" s="35"/>
      <c r="R88" s="1"/>
    </row>
    <row r="89" spans="2:18" hidden="1" x14ac:dyDescent="0.25">
      <c r="B89" s="1" t="s">
        <v>145</v>
      </c>
      <c r="C89" s="77">
        <v>0</v>
      </c>
      <c r="D89" s="77">
        <v>0</v>
      </c>
      <c r="E89" s="77">
        <v>0</v>
      </c>
      <c r="F89" s="77"/>
      <c r="G89" s="77"/>
      <c r="H89" s="77"/>
      <c r="I89" s="77"/>
      <c r="J89" s="77"/>
      <c r="K89" s="77"/>
      <c r="L89" s="77"/>
      <c r="M89" s="77"/>
      <c r="N89" s="77"/>
      <c r="O89" s="86">
        <f t="shared" ref="O89:O93" si="19">SUM(C89:N89)</f>
        <v>0</v>
      </c>
      <c r="P89" s="61"/>
      <c r="Q89" s="61"/>
      <c r="R89" s="1"/>
    </row>
    <row r="90" spans="2:18" hidden="1" x14ac:dyDescent="0.25">
      <c r="B90" s="1" t="s">
        <v>146</v>
      </c>
      <c r="C90" s="77">
        <v>0</v>
      </c>
      <c r="D90" s="77">
        <v>0</v>
      </c>
      <c r="E90" s="77">
        <v>0</v>
      </c>
      <c r="F90" s="77"/>
      <c r="G90" s="77"/>
      <c r="H90" s="77"/>
      <c r="I90" s="77"/>
      <c r="J90" s="77"/>
      <c r="K90" s="77"/>
      <c r="L90" s="77"/>
      <c r="M90" s="77"/>
      <c r="N90" s="77"/>
      <c r="O90" s="86">
        <f t="shared" si="19"/>
        <v>0</v>
      </c>
      <c r="P90" s="61"/>
      <c r="Q90" s="61"/>
      <c r="R90" s="1">
        <v>52</v>
      </c>
    </row>
    <row r="91" spans="2:18" hidden="1" x14ac:dyDescent="0.25">
      <c r="B91" s="1" t="s">
        <v>147</v>
      </c>
      <c r="C91" s="77">
        <v>0</v>
      </c>
      <c r="D91" s="77">
        <v>0</v>
      </c>
      <c r="E91" s="77">
        <v>0</v>
      </c>
      <c r="F91" s="77"/>
      <c r="G91" s="77"/>
      <c r="H91" s="77"/>
      <c r="I91" s="77"/>
      <c r="J91" s="77"/>
      <c r="K91" s="77"/>
      <c r="L91" s="77"/>
      <c r="M91" s="77"/>
      <c r="N91" s="77"/>
      <c r="O91" s="86">
        <f t="shared" si="19"/>
        <v>0</v>
      </c>
      <c r="P91" s="61"/>
      <c r="Q91" s="61"/>
      <c r="R91" s="1"/>
    </row>
    <row r="92" spans="2:18" hidden="1" x14ac:dyDescent="0.25">
      <c r="B92" s="1" t="s">
        <v>148</v>
      </c>
      <c r="C92" s="77">
        <v>0</v>
      </c>
      <c r="D92" s="77">
        <v>0</v>
      </c>
      <c r="E92" s="77">
        <v>0</v>
      </c>
      <c r="F92" s="77"/>
      <c r="G92" s="77"/>
      <c r="H92" s="77"/>
      <c r="I92" s="77"/>
      <c r="J92" s="77"/>
      <c r="K92" s="77"/>
      <c r="L92" s="77"/>
      <c r="M92" s="77"/>
      <c r="N92" s="77"/>
      <c r="O92" s="86">
        <f t="shared" si="19"/>
        <v>0</v>
      </c>
      <c r="P92" s="61"/>
      <c r="Q92" s="61"/>
      <c r="R92" s="1"/>
    </row>
    <row r="93" spans="2:18" hidden="1" x14ac:dyDescent="0.25">
      <c r="B93" s="35" t="s">
        <v>149</v>
      </c>
      <c r="C93" s="81">
        <v>0</v>
      </c>
      <c r="D93" s="81">
        <v>0</v>
      </c>
      <c r="E93" s="81">
        <v>0</v>
      </c>
      <c r="F93" s="81"/>
      <c r="G93" s="81"/>
      <c r="H93" s="81"/>
      <c r="I93" s="81"/>
      <c r="J93" s="81"/>
      <c r="K93" s="81"/>
      <c r="L93" s="81"/>
      <c r="M93" s="81"/>
      <c r="N93" s="81"/>
      <c r="O93" s="101">
        <f t="shared" si="19"/>
        <v>0</v>
      </c>
      <c r="P93" s="60"/>
      <c r="Q93" s="60"/>
      <c r="R93" s="1">
        <v>55</v>
      </c>
    </row>
    <row r="94" spans="2:18" hidden="1" x14ac:dyDescent="0.25">
      <c r="B94" s="1"/>
      <c r="C94" s="77"/>
      <c r="D94" s="77"/>
      <c r="E94" s="77"/>
      <c r="F94" s="77"/>
      <c r="G94" s="77"/>
      <c r="H94" s="77"/>
      <c r="I94" s="77"/>
      <c r="J94" s="77"/>
      <c r="K94" s="77"/>
      <c r="L94" s="77"/>
      <c r="M94" s="77"/>
      <c r="N94" s="77"/>
      <c r="O94" s="1"/>
      <c r="P94" s="1"/>
      <c r="Q94" s="1"/>
      <c r="R94" s="1"/>
    </row>
    <row r="95" spans="2:18" hidden="1" x14ac:dyDescent="0.25">
      <c r="B95" s="98" t="s">
        <v>150</v>
      </c>
      <c r="C95" s="81"/>
      <c r="D95" s="81"/>
      <c r="E95" s="81"/>
      <c r="F95" s="81"/>
      <c r="G95" s="81"/>
      <c r="H95" s="81"/>
      <c r="I95" s="81"/>
      <c r="J95" s="81"/>
      <c r="K95" s="81"/>
      <c r="L95" s="81"/>
      <c r="M95" s="81"/>
      <c r="N95" s="81"/>
      <c r="O95" s="35"/>
      <c r="P95" s="99">
        <v>0</v>
      </c>
      <c r="Q95" s="35"/>
      <c r="R95" s="1"/>
    </row>
    <row r="96" spans="2:18" hidden="1" x14ac:dyDescent="0.25">
      <c r="B96" s="1" t="s">
        <v>145</v>
      </c>
      <c r="C96" s="77">
        <v>0</v>
      </c>
      <c r="D96" s="77">
        <v>0</v>
      </c>
      <c r="E96" s="77">
        <v>0</v>
      </c>
      <c r="F96" s="77"/>
      <c r="G96" s="77"/>
      <c r="H96" s="77"/>
      <c r="I96" s="77"/>
      <c r="J96" s="77"/>
      <c r="K96" s="77"/>
      <c r="L96" s="77"/>
      <c r="M96" s="77"/>
      <c r="N96" s="77"/>
      <c r="O96" s="86">
        <f t="shared" ref="O96:O100" si="20">SUM(C96:N96)</f>
        <v>0</v>
      </c>
      <c r="P96" s="61"/>
      <c r="Q96" s="61"/>
      <c r="R96" s="1"/>
    </row>
    <row r="97" spans="2:18" hidden="1" x14ac:dyDescent="0.25">
      <c r="B97" s="1" t="s">
        <v>146</v>
      </c>
      <c r="C97" s="77">
        <v>0</v>
      </c>
      <c r="D97" s="77">
        <v>0</v>
      </c>
      <c r="E97" s="77">
        <v>0</v>
      </c>
      <c r="F97" s="77"/>
      <c r="G97" s="77"/>
      <c r="H97" s="77"/>
      <c r="I97" s="77"/>
      <c r="J97" s="77"/>
      <c r="K97" s="77"/>
      <c r="L97" s="77"/>
      <c r="M97" s="77"/>
      <c r="N97" s="77"/>
      <c r="O97" s="86">
        <f t="shared" si="20"/>
        <v>0</v>
      </c>
      <c r="P97" s="61"/>
      <c r="Q97" s="61"/>
      <c r="R97" s="1"/>
    </row>
    <row r="98" spans="2:18" hidden="1" x14ac:dyDescent="0.25">
      <c r="B98" s="1" t="s">
        <v>147</v>
      </c>
      <c r="C98" s="77">
        <v>0</v>
      </c>
      <c r="D98" s="77">
        <v>0</v>
      </c>
      <c r="E98" s="77">
        <v>0</v>
      </c>
      <c r="F98" s="77"/>
      <c r="G98" s="77"/>
      <c r="H98" s="77"/>
      <c r="I98" s="77"/>
      <c r="J98" s="77"/>
      <c r="K98" s="77"/>
      <c r="L98" s="77"/>
      <c r="M98" s="77"/>
      <c r="N98" s="77"/>
      <c r="O98" s="86">
        <f t="shared" si="20"/>
        <v>0</v>
      </c>
      <c r="P98" s="61"/>
      <c r="Q98" s="61"/>
      <c r="R98" s="1">
        <v>58</v>
      </c>
    </row>
    <row r="99" spans="2:18" hidden="1" x14ac:dyDescent="0.25">
      <c r="B99" s="1" t="s">
        <v>148</v>
      </c>
      <c r="C99" s="77">
        <v>0</v>
      </c>
      <c r="D99" s="77">
        <v>0</v>
      </c>
      <c r="E99" s="77">
        <v>0</v>
      </c>
      <c r="F99" s="77"/>
      <c r="G99" s="77"/>
      <c r="H99" s="77"/>
      <c r="I99" s="77"/>
      <c r="J99" s="77"/>
      <c r="K99" s="77"/>
      <c r="L99" s="77"/>
      <c r="M99" s="77"/>
      <c r="N99" s="77"/>
      <c r="O99" s="86">
        <f t="shared" si="20"/>
        <v>0</v>
      </c>
      <c r="P99" s="61"/>
      <c r="Q99" s="61"/>
      <c r="R99" s="1">
        <v>59</v>
      </c>
    </row>
    <row r="100" spans="2:18" hidden="1" x14ac:dyDescent="0.25">
      <c r="B100" s="35" t="s">
        <v>149</v>
      </c>
      <c r="C100" s="81">
        <v>0</v>
      </c>
      <c r="D100" s="81">
        <v>0</v>
      </c>
      <c r="E100" s="81">
        <v>0</v>
      </c>
      <c r="F100" s="81"/>
      <c r="G100" s="81"/>
      <c r="H100" s="81"/>
      <c r="I100" s="81"/>
      <c r="J100" s="81"/>
      <c r="K100" s="81"/>
      <c r="L100" s="81"/>
      <c r="M100" s="81"/>
      <c r="N100" s="81"/>
      <c r="O100" s="101">
        <f t="shared" si="20"/>
        <v>0</v>
      </c>
      <c r="P100" s="60"/>
      <c r="Q100" s="60"/>
      <c r="R100" s="1">
        <v>60</v>
      </c>
    </row>
    <row r="101" spans="2:18" x14ac:dyDescent="0.25">
      <c r="B101" s="1"/>
      <c r="C101" s="1"/>
      <c r="D101" s="1"/>
      <c r="E101" s="1"/>
      <c r="F101" s="1"/>
      <c r="G101" s="1"/>
      <c r="H101" s="1"/>
      <c r="I101" s="1"/>
      <c r="J101" s="1"/>
      <c r="K101" s="1"/>
      <c r="L101" s="1"/>
      <c r="M101" s="1"/>
      <c r="N101" s="1"/>
      <c r="O101" s="1"/>
      <c r="P101" s="1"/>
      <c r="Q101" s="1"/>
      <c r="R101" s="1"/>
    </row>
    <row r="102" spans="2:18" x14ac:dyDescent="0.25">
      <c r="B102" s="88" t="s">
        <v>151</v>
      </c>
      <c r="C102" s="89">
        <f t="shared" ref="C102:N102" si="21">SUM(C49,C54:C58,C61:C65,C68:C72,C75:C79,C82:C86,C89:C93,C96:C100)</f>
        <v>-18379.670000000002</v>
      </c>
      <c r="D102" s="89">
        <f t="shared" si="21"/>
        <v>-83795.87999999999</v>
      </c>
      <c r="E102" s="89">
        <f t="shared" si="21"/>
        <v>535767.71</v>
      </c>
      <c r="F102" s="89">
        <f t="shared" si="21"/>
        <v>1294093.0799999998</v>
      </c>
      <c r="G102" s="89">
        <f t="shared" si="21"/>
        <v>749312.84999999986</v>
      </c>
      <c r="H102" s="89">
        <f t="shared" si="21"/>
        <v>433205.57999999996</v>
      </c>
      <c r="I102" s="89">
        <f t="shared" si="21"/>
        <v>0</v>
      </c>
      <c r="J102" s="89">
        <f t="shared" si="21"/>
        <v>0</v>
      </c>
      <c r="K102" s="89">
        <f t="shared" si="21"/>
        <v>0</v>
      </c>
      <c r="L102" s="89">
        <f t="shared" si="21"/>
        <v>0</v>
      </c>
      <c r="M102" s="89">
        <f t="shared" si="21"/>
        <v>0</v>
      </c>
      <c r="N102" s="89">
        <f t="shared" si="21"/>
        <v>0</v>
      </c>
      <c r="O102" s="89">
        <f>SUM(O49,O54:O58,O61:O65,O68:O72,O75:O79,O82:O86,O89:O93,O96:O100)</f>
        <v>2910203.67</v>
      </c>
      <c r="P102" s="89">
        <f>SUM(P49,P53,P60,P67,P74,P81,P88,P95)</f>
        <v>0</v>
      </c>
      <c r="Q102" s="102"/>
      <c r="R102" s="1"/>
    </row>
    <row r="103" spans="2:18" x14ac:dyDescent="0.25">
      <c r="B103" s="1"/>
      <c r="C103" s="1"/>
      <c r="D103" s="1"/>
      <c r="E103" s="1"/>
      <c r="F103" s="1"/>
      <c r="G103" s="1"/>
      <c r="H103" s="1"/>
      <c r="I103" s="1"/>
      <c r="J103" s="1"/>
      <c r="K103" s="1"/>
      <c r="L103" s="1"/>
      <c r="M103" s="1"/>
      <c r="N103" s="1"/>
      <c r="O103" s="1"/>
      <c r="P103" s="1"/>
      <c r="Q103" s="1"/>
      <c r="R103" s="1"/>
    </row>
    <row r="104" spans="2:18" x14ac:dyDescent="0.25">
      <c r="B104" s="98" t="s">
        <v>152</v>
      </c>
      <c r="C104" s="35"/>
      <c r="D104" s="35"/>
      <c r="E104" s="35"/>
      <c r="F104" s="35"/>
      <c r="G104" s="35"/>
      <c r="H104" s="35"/>
      <c r="I104" s="35"/>
      <c r="J104" s="35"/>
      <c r="K104" s="35"/>
      <c r="L104" s="35"/>
      <c r="M104" s="35"/>
      <c r="N104" s="35"/>
      <c r="O104" s="35"/>
      <c r="P104" s="35"/>
      <c r="Q104" s="35"/>
      <c r="R104" s="1"/>
    </row>
    <row r="105" spans="2:18" x14ac:dyDescent="0.25">
      <c r="B105" s="1" t="s">
        <v>145</v>
      </c>
      <c r="C105" s="77">
        <f t="shared" ref="C105:N105" si="22">IF(ISBLANK(C54)," ",SUMIF($B$54:$B$100,$B105,C54:C100))</f>
        <v>0</v>
      </c>
      <c r="D105" s="77">
        <f t="shared" si="22"/>
        <v>0</v>
      </c>
      <c r="E105" s="77">
        <f t="shared" si="22"/>
        <v>0</v>
      </c>
      <c r="F105" s="77">
        <f t="shared" si="22"/>
        <v>0</v>
      </c>
      <c r="G105" s="77">
        <f t="shared" si="22"/>
        <v>0</v>
      </c>
      <c r="H105" s="77">
        <f t="shared" si="22"/>
        <v>0</v>
      </c>
      <c r="I105" s="77" t="str">
        <f t="shared" si="22"/>
        <v xml:space="preserve"> </v>
      </c>
      <c r="J105" s="77" t="str">
        <f t="shared" si="22"/>
        <v xml:space="preserve"> </v>
      </c>
      <c r="K105" s="77" t="str">
        <f t="shared" si="22"/>
        <v xml:space="preserve"> </v>
      </c>
      <c r="L105" s="77" t="str">
        <f t="shared" si="22"/>
        <v xml:space="preserve"> </v>
      </c>
      <c r="M105" s="77" t="str">
        <f t="shared" si="22"/>
        <v xml:space="preserve"> </v>
      </c>
      <c r="N105" s="77" t="str">
        <f t="shared" si="22"/>
        <v xml:space="preserve"> </v>
      </c>
      <c r="O105" s="86">
        <f>SUM(C105:N105)</f>
        <v>0</v>
      </c>
      <c r="P105" s="61"/>
      <c r="Q105" s="61"/>
      <c r="R105" s="1"/>
    </row>
    <row r="106" spans="2:18" x14ac:dyDescent="0.25">
      <c r="B106" s="1" t="s">
        <v>146</v>
      </c>
      <c r="C106" s="77">
        <f t="shared" ref="C106:N106" si="23">IF(ISBLANK(C54)," ",SUMIF($B$54:$B$100,$B106,C54:C100))</f>
        <v>-155980.01999999999</v>
      </c>
      <c r="D106" s="77">
        <f t="shared" si="23"/>
        <v>-70773.53</v>
      </c>
      <c r="E106" s="77">
        <f t="shared" si="23"/>
        <v>74109.59</v>
      </c>
      <c r="F106" s="77">
        <f t="shared" si="23"/>
        <v>819549.52999999991</v>
      </c>
      <c r="G106" s="77">
        <f t="shared" si="23"/>
        <v>283174.58</v>
      </c>
      <c r="H106" s="77">
        <f t="shared" si="23"/>
        <v>289448.56999999995</v>
      </c>
      <c r="I106" s="77" t="str">
        <f t="shared" si="23"/>
        <v xml:space="preserve"> </v>
      </c>
      <c r="J106" s="77" t="str">
        <f t="shared" si="23"/>
        <v xml:space="preserve"> </v>
      </c>
      <c r="K106" s="77" t="str">
        <f t="shared" si="23"/>
        <v xml:space="preserve"> </v>
      </c>
      <c r="L106" s="77" t="str">
        <f t="shared" si="23"/>
        <v xml:space="preserve"> </v>
      </c>
      <c r="M106" s="77" t="str">
        <f t="shared" si="23"/>
        <v xml:space="preserve"> </v>
      </c>
      <c r="N106" s="77" t="str">
        <f t="shared" si="23"/>
        <v xml:space="preserve"> </v>
      </c>
      <c r="O106" s="86">
        <f t="shared" ref="O106:O110" si="24">SUM(C106:N106)</f>
        <v>1239528.7199999997</v>
      </c>
      <c r="P106" s="61"/>
      <c r="Q106" s="61"/>
      <c r="R106" s="1"/>
    </row>
    <row r="107" spans="2:18" x14ac:dyDescent="0.25">
      <c r="B107" s="1" t="s">
        <v>147</v>
      </c>
      <c r="C107" s="77">
        <f t="shared" ref="C107:N107" si="25">IF(ISBLANK(C54)," ",SUMIF($B$54:$B$100,$B107,C54:C100))</f>
        <v>8185.52</v>
      </c>
      <c r="D107" s="77">
        <f t="shared" si="25"/>
        <v>-2394.91</v>
      </c>
      <c r="E107" s="77">
        <f t="shared" si="25"/>
        <v>8412.2999999999993</v>
      </c>
      <c r="F107" s="77">
        <f t="shared" si="25"/>
        <v>3058.97</v>
      </c>
      <c r="G107" s="77">
        <f t="shared" si="25"/>
        <v>2240.21</v>
      </c>
      <c r="H107" s="77">
        <f t="shared" si="25"/>
        <v>7090.79</v>
      </c>
      <c r="I107" s="77" t="str">
        <f t="shared" si="25"/>
        <v xml:space="preserve"> </v>
      </c>
      <c r="J107" s="77" t="str">
        <f t="shared" si="25"/>
        <v xml:space="preserve"> </v>
      </c>
      <c r="K107" s="77" t="str">
        <f t="shared" si="25"/>
        <v xml:space="preserve"> </v>
      </c>
      <c r="L107" s="77" t="str">
        <f t="shared" si="25"/>
        <v xml:space="preserve"> </v>
      </c>
      <c r="M107" s="77" t="str">
        <f t="shared" si="25"/>
        <v xml:space="preserve"> </v>
      </c>
      <c r="N107" s="77" t="str">
        <f t="shared" si="25"/>
        <v xml:space="preserve"> </v>
      </c>
      <c r="O107" s="86">
        <f t="shared" si="24"/>
        <v>26592.880000000001</v>
      </c>
      <c r="P107" s="61"/>
      <c r="Q107" s="61"/>
      <c r="R107" s="1"/>
    </row>
    <row r="108" spans="2:18" x14ac:dyDescent="0.25">
      <c r="B108" s="1" t="s">
        <v>148</v>
      </c>
      <c r="C108" s="77">
        <f t="shared" ref="C108:N108" si="26">IF(ISBLANK(C54)," ",SUMIF($B$54:$B$100,$B108,C54:C100))</f>
        <v>0</v>
      </c>
      <c r="D108" s="77">
        <f t="shared" si="26"/>
        <v>5357</v>
      </c>
      <c r="E108" s="77">
        <f t="shared" si="26"/>
        <v>500489.54</v>
      </c>
      <c r="F108" s="77">
        <f t="shared" si="26"/>
        <v>0</v>
      </c>
      <c r="G108" s="77">
        <f t="shared" si="26"/>
        <v>0</v>
      </c>
      <c r="H108" s="77">
        <f t="shared" si="26"/>
        <v>12863</v>
      </c>
      <c r="I108" s="77" t="str">
        <f t="shared" si="26"/>
        <v xml:space="preserve"> </v>
      </c>
      <c r="J108" s="77" t="str">
        <f t="shared" si="26"/>
        <v xml:space="preserve"> </v>
      </c>
      <c r="K108" s="77" t="str">
        <f t="shared" si="26"/>
        <v xml:space="preserve"> </v>
      </c>
      <c r="L108" s="77" t="str">
        <f t="shared" si="26"/>
        <v xml:space="preserve"> </v>
      </c>
      <c r="M108" s="77" t="str">
        <f t="shared" si="26"/>
        <v xml:space="preserve"> </v>
      </c>
      <c r="N108" s="77" t="str">
        <f t="shared" si="26"/>
        <v xml:space="preserve"> </v>
      </c>
      <c r="O108" s="86">
        <f t="shared" si="24"/>
        <v>518709.54</v>
      </c>
      <c r="P108" s="61"/>
      <c r="Q108" s="61"/>
      <c r="R108" s="1"/>
    </row>
    <row r="109" spans="2:18" x14ac:dyDescent="0.25">
      <c r="B109" s="1" t="s">
        <v>149</v>
      </c>
      <c r="C109" s="77">
        <f t="shared" ref="C109:N109" si="27">IF(ISBLANK(C54)," ",SUMIF($B$54:$B$100,$B109,C54:C100))</f>
        <v>271</v>
      </c>
      <c r="D109" s="77">
        <f t="shared" si="27"/>
        <v>461.94</v>
      </c>
      <c r="E109" s="77">
        <f t="shared" si="27"/>
        <v>2799.17</v>
      </c>
      <c r="F109" s="77">
        <f t="shared" si="27"/>
        <v>2331.98</v>
      </c>
      <c r="G109" s="77">
        <f t="shared" si="27"/>
        <v>1514.1</v>
      </c>
      <c r="H109" s="77">
        <f t="shared" si="27"/>
        <v>930.87</v>
      </c>
      <c r="I109" s="77" t="str">
        <f t="shared" si="27"/>
        <v xml:space="preserve"> </v>
      </c>
      <c r="J109" s="77" t="str">
        <f t="shared" si="27"/>
        <v xml:space="preserve"> </v>
      </c>
      <c r="K109" s="77" t="str">
        <f t="shared" si="27"/>
        <v xml:space="preserve"> </v>
      </c>
      <c r="L109" s="77" t="str">
        <f t="shared" si="27"/>
        <v xml:space="preserve"> </v>
      </c>
      <c r="M109" s="77" t="str">
        <f t="shared" si="27"/>
        <v xml:space="preserve"> </v>
      </c>
      <c r="N109" s="77" t="str">
        <f t="shared" si="27"/>
        <v xml:space="preserve"> </v>
      </c>
      <c r="O109" s="86">
        <f t="shared" si="24"/>
        <v>8309.0600000000013</v>
      </c>
      <c r="P109" s="61"/>
      <c r="Q109" s="61"/>
      <c r="R109" s="1"/>
    </row>
    <row r="110" spans="2:18" x14ac:dyDescent="0.25">
      <c r="B110" s="103" t="s">
        <v>153</v>
      </c>
      <c r="C110" s="77">
        <f t="shared" ref="C110:N110" si="28">IF(C49=0,"",C49)</f>
        <v>129143.82999999999</v>
      </c>
      <c r="D110" s="77">
        <f t="shared" si="28"/>
        <v>-16446.38</v>
      </c>
      <c r="E110" s="77">
        <f t="shared" si="28"/>
        <v>-50042.890000000014</v>
      </c>
      <c r="F110" s="77">
        <f t="shared" si="28"/>
        <v>469152.6</v>
      </c>
      <c r="G110" s="77">
        <f t="shared" si="28"/>
        <v>462383.95999999996</v>
      </c>
      <c r="H110" s="77">
        <f t="shared" si="28"/>
        <v>122872.35000000002</v>
      </c>
      <c r="I110" s="77" t="str">
        <f t="shared" si="28"/>
        <v/>
      </c>
      <c r="J110" s="77" t="str">
        <f t="shared" si="28"/>
        <v/>
      </c>
      <c r="K110" s="77" t="str">
        <f t="shared" si="28"/>
        <v/>
      </c>
      <c r="L110" s="77" t="str">
        <f t="shared" si="28"/>
        <v/>
      </c>
      <c r="M110" s="77" t="str">
        <f t="shared" si="28"/>
        <v/>
      </c>
      <c r="N110" s="77" t="str">
        <f t="shared" si="28"/>
        <v/>
      </c>
      <c r="O110" s="86">
        <f t="shared" si="24"/>
        <v>1117063.47</v>
      </c>
      <c r="P110" s="61"/>
      <c r="Q110" s="61"/>
      <c r="R110" s="1"/>
    </row>
    <row r="111" spans="2:18" x14ac:dyDescent="0.25">
      <c r="B111" s="88" t="s">
        <v>154</v>
      </c>
      <c r="C111" s="89">
        <f>SUM(C105:C110)</f>
        <v>-18379.670000000013</v>
      </c>
      <c r="D111" s="89">
        <f t="shared" ref="D111:O111" si="29">SUM(D105:D110)</f>
        <v>-83795.88</v>
      </c>
      <c r="E111" s="89">
        <f t="shared" si="29"/>
        <v>535767.71</v>
      </c>
      <c r="F111" s="89">
        <f t="shared" si="29"/>
        <v>1294093.0799999998</v>
      </c>
      <c r="G111" s="89">
        <f t="shared" si="29"/>
        <v>749312.85</v>
      </c>
      <c r="H111" s="89">
        <f t="shared" si="29"/>
        <v>433205.57999999996</v>
      </c>
      <c r="I111" s="89">
        <f t="shared" si="29"/>
        <v>0</v>
      </c>
      <c r="J111" s="89">
        <f t="shared" si="29"/>
        <v>0</v>
      </c>
      <c r="K111" s="89">
        <f t="shared" si="29"/>
        <v>0</v>
      </c>
      <c r="L111" s="89">
        <f t="shared" si="29"/>
        <v>0</v>
      </c>
      <c r="M111" s="89">
        <f t="shared" si="29"/>
        <v>0</v>
      </c>
      <c r="N111" s="89">
        <f t="shared" si="29"/>
        <v>0</v>
      </c>
      <c r="O111" s="89">
        <f t="shared" si="29"/>
        <v>2910203.67</v>
      </c>
      <c r="P111" s="89">
        <f>P102</f>
        <v>0</v>
      </c>
      <c r="Q111" s="102"/>
      <c r="R111" s="1"/>
    </row>
    <row r="112" spans="2:18" x14ac:dyDescent="0.25">
      <c r="B112" s="1"/>
      <c r="C112" s="1"/>
      <c r="D112" s="1"/>
      <c r="E112" s="1"/>
      <c r="F112" s="1"/>
      <c r="G112" s="1"/>
      <c r="H112" s="1"/>
      <c r="I112" s="1"/>
      <c r="J112" s="1"/>
      <c r="K112" s="1"/>
      <c r="L112" s="1"/>
      <c r="M112" s="1"/>
      <c r="N112" s="1"/>
      <c r="O112" s="1"/>
      <c r="P112" s="1"/>
      <c r="Q112" s="1"/>
      <c r="R112" s="1"/>
    </row>
    <row r="113" spans="2:18" ht="15.75" x14ac:dyDescent="0.25">
      <c r="B113" s="98" t="s">
        <v>155</v>
      </c>
      <c r="C113" s="35"/>
      <c r="D113" s="35"/>
      <c r="E113" s="35"/>
      <c r="F113" s="35"/>
      <c r="G113" s="35"/>
      <c r="H113" s="35"/>
      <c r="I113" s="35"/>
      <c r="J113" s="35"/>
      <c r="K113" s="35"/>
      <c r="L113" s="35"/>
      <c r="M113" s="35"/>
      <c r="N113" s="35"/>
      <c r="O113" s="35"/>
      <c r="P113" s="35"/>
      <c r="Q113" s="35"/>
      <c r="R113" s="1"/>
    </row>
    <row r="114" spans="2:18" x14ac:dyDescent="0.25">
      <c r="B114" s="1" t="s">
        <v>156</v>
      </c>
      <c r="C114" s="77">
        <f t="shared" ref="C114:N114" si="30">IF(C102=0,"",SUM(C54:C58,C17,C37*0.01))</f>
        <v>25.7087</v>
      </c>
      <c r="D114" s="77">
        <f t="shared" si="30"/>
        <v>27.041</v>
      </c>
      <c r="E114" s="77">
        <f t="shared" si="30"/>
        <v>20064.8698</v>
      </c>
      <c r="F114" s="77">
        <f t="shared" si="30"/>
        <v>2752.7365999999997</v>
      </c>
      <c r="G114" s="77">
        <f t="shared" si="30"/>
        <v>-5540.8919999999998</v>
      </c>
      <c r="H114" s="77">
        <f t="shared" si="30"/>
        <v>19841.320599999999</v>
      </c>
      <c r="I114" s="77" t="str">
        <f t="shared" si="30"/>
        <v/>
      </c>
      <c r="J114" s="77" t="str">
        <f t="shared" si="30"/>
        <v/>
      </c>
      <c r="K114" s="77" t="str">
        <f t="shared" si="30"/>
        <v/>
      </c>
      <c r="L114" s="77" t="str">
        <f t="shared" si="30"/>
        <v/>
      </c>
      <c r="M114" s="77" t="str">
        <f t="shared" si="30"/>
        <v/>
      </c>
      <c r="N114" s="77" t="str">
        <f t="shared" si="30"/>
        <v/>
      </c>
      <c r="O114" s="86">
        <f t="shared" ref="O114:O117" si="31">SUM(C114:N114)</f>
        <v>37170.784700000004</v>
      </c>
      <c r="P114" s="61"/>
      <c r="Q114" s="61"/>
      <c r="R114" s="1"/>
    </row>
    <row r="115" spans="2:18" x14ac:dyDescent="0.25">
      <c r="B115" s="1" t="s">
        <v>157</v>
      </c>
      <c r="C115" s="77">
        <f>IF(C102=0,"",SUM(C61:C65)+C18+(SUM(C89:C93)*0.8)+(C37*0.8)+SUM(C68:C72)+SUM(C96:C100))</f>
        <v>2056.6959999999999</v>
      </c>
      <c r="D115" s="77">
        <f>IF(D102=0,"",SUM(D61:D65)+D18+(SUM(D89:D93)*0.8)+(D36*0.07)+(D37*0.8)+(D42*0.05)+SUM(D68:D72)+SUM(D96:D100))</f>
        <v>808.72600000000023</v>
      </c>
      <c r="E115" s="77">
        <f>IF(E102=0,"",SUM(E61:E65)+E18+(SUM(E89:E93)*0.8)+(E36*0.07)+(E37*0.8)+(E42*0.05)+SUM(E68:E72)+SUM(E96:E100))</f>
        <v>5109.5721000000012</v>
      </c>
      <c r="F115" s="77">
        <f t="shared" ref="F115:N115" si="32">IF(F102=0,"",SUM(F61:F65)+F18+(SUM(F89:F93)*0.8)+(F36*0.07)+(F37*0.8)+(F42*0.05)+SUM(F68:F72)+SUM(F96:F100))</f>
        <v>33522.719299999997</v>
      </c>
      <c r="G115" s="77">
        <f t="shared" si="32"/>
        <v>45105.322300000007</v>
      </c>
      <c r="H115" s="77">
        <f t="shared" si="32"/>
        <v>8426.6713</v>
      </c>
      <c r="I115" s="77" t="str">
        <f t="shared" si="32"/>
        <v/>
      </c>
      <c r="J115" s="77" t="str">
        <f t="shared" si="32"/>
        <v/>
      </c>
      <c r="K115" s="77" t="str">
        <f t="shared" si="32"/>
        <v/>
      </c>
      <c r="L115" s="77" t="str">
        <f t="shared" si="32"/>
        <v/>
      </c>
      <c r="M115" s="77" t="str">
        <f t="shared" si="32"/>
        <v/>
      </c>
      <c r="N115" s="77" t="str">
        <f t="shared" si="32"/>
        <v/>
      </c>
      <c r="O115" s="86">
        <f t="shared" si="31"/>
        <v>95029.707000000009</v>
      </c>
      <c r="P115" s="61"/>
      <c r="Q115" s="61"/>
      <c r="R115" s="1"/>
    </row>
    <row r="116" spans="2:18" x14ac:dyDescent="0.25">
      <c r="B116" s="1" t="s">
        <v>158</v>
      </c>
      <c r="C116" s="77">
        <f>IF(C102=0,"",(SUM(C89:C93)*0.2)+C19+C32+C36+(C37*0.19))</f>
        <v>126258.9953</v>
      </c>
      <c r="D116" s="77">
        <f>IF(D102=0,"",(SUM(D89:D93)*0.2)+D19+D32+(D36*0.6)+(D37*0.19)+(D42*0.9))</f>
        <v>-11803.904999999999</v>
      </c>
      <c r="E116" s="77">
        <f>IF(E102=0,"",(SUM(E89:E93)*0.2)+E19+E32+(E36*0.6)+(E37*0.19)+(E42*0.9))</f>
        <v>-92615.075800000021</v>
      </c>
      <c r="F116" s="77">
        <f t="shared" ref="F116:N116" si="33">IF(F102=0,"",(SUM(F89:F93)*0.2)+F19+F32+(F36*0.6)+(F37*0.19)+(F42*0.9))</f>
        <v>323525.21039999998</v>
      </c>
      <c r="G116" s="77">
        <f t="shared" si="33"/>
        <v>286557.56</v>
      </c>
      <c r="H116" s="77">
        <f t="shared" si="33"/>
        <v>78001.688399999999</v>
      </c>
      <c r="I116" s="77" t="str">
        <f t="shared" si="33"/>
        <v/>
      </c>
      <c r="J116" s="77" t="str">
        <f t="shared" si="33"/>
        <v/>
      </c>
      <c r="K116" s="77" t="str">
        <f t="shared" si="33"/>
        <v/>
      </c>
      <c r="L116" s="77" t="str">
        <f t="shared" si="33"/>
        <v/>
      </c>
      <c r="M116" s="77" t="str">
        <f t="shared" si="33"/>
        <v/>
      </c>
      <c r="N116" s="77" t="str">
        <f t="shared" si="33"/>
        <v/>
      </c>
      <c r="O116" s="86">
        <f t="shared" si="31"/>
        <v>709924.47329999995</v>
      </c>
      <c r="P116" s="61"/>
      <c r="Q116" s="61"/>
      <c r="R116" s="1"/>
    </row>
    <row r="117" spans="2:18" x14ac:dyDescent="0.25">
      <c r="B117" s="1" t="s">
        <v>159</v>
      </c>
      <c r="C117" s="77">
        <f>IF(C102=0,"",SUM(C75:C79,C82:C86,C20,C38))</f>
        <v>-146721.07</v>
      </c>
      <c r="D117" s="77">
        <f>IF(D102=0,"",SUM(D75:D79,D82:D86,D38+(D36*0.33)+(D42*0.05)))</f>
        <v>-72827.741999999984</v>
      </c>
      <c r="E117" s="77">
        <f>IF(E102=0,"",SUM(E75:E79,E82:E86,E38+(E36*0.33)+(E42*0.05)))</f>
        <v>603208.34389999998</v>
      </c>
      <c r="F117" s="77">
        <f t="shared" ref="F117:N117" si="34">IF(F102=0,"",SUM(F75:F79,F82:F86,F38+(F36*0.33)+(F42*0.05)))</f>
        <v>934292.4136999998</v>
      </c>
      <c r="G117" s="77">
        <f t="shared" si="34"/>
        <v>423190.85970000003</v>
      </c>
      <c r="H117" s="77">
        <f t="shared" si="34"/>
        <v>326935.89969999995</v>
      </c>
      <c r="I117" s="77" t="str">
        <f t="shared" si="34"/>
        <v/>
      </c>
      <c r="J117" s="77" t="str">
        <f t="shared" si="34"/>
        <v/>
      </c>
      <c r="K117" s="77" t="str">
        <f t="shared" si="34"/>
        <v/>
      </c>
      <c r="L117" s="77" t="str">
        <f t="shared" si="34"/>
        <v/>
      </c>
      <c r="M117" s="77" t="str">
        <f t="shared" si="34"/>
        <v/>
      </c>
      <c r="N117" s="77" t="str">
        <f t="shared" si="34"/>
        <v/>
      </c>
      <c r="O117" s="86">
        <f t="shared" si="31"/>
        <v>2068078.7049999996</v>
      </c>
      <c r="P117" s="61"/>
      <c r="Q117" s="61"/>
      <c r="R117" s="1"/>
    </row>
    <row r="118" spans="2:18" x14ac:dyDescent="0.25">
      <c r="B118" s="88" t="s">
        <v>160</v>
      </c>
      <c r="C118" s="89">
        <f>SUM(C114:C117)</f>
        <v>-18379.670000000013</v>
      </c>
      <c r="D118" s="89">
        <f>SUM(D114:D117)</f>
        <v>-83795.879999999976</v>
      </c>
      <c r="E118" s="89">
        <f t="shared" ref="E118:O118" si="35">SUM(E114:E117)</f>
        <v>535767.71</v>
      </c>
      <c r="F118" s="89">
        <f t="shared" si="35"/>
        <v>1294093.0799999998</v>
      </c>
      <c r="G118" s="89">
        <f t="shared" si="35"/>
        <v>749312.85000000009</v>
      </c>
      <c r="H118" s="89">
        <f t="shared" si="35"/>
        <v>433205.57999999996</v>
      </c>
      <c r="I118" s="89">
        <f t="shared" si="35"/>
        <v>0</v>
      </c>
      <c r="J118" s="89">
        <f t="shared" si="35"/>
        <v>0</v>
      </c>
      <c r="K118" s="89">
        <f t="shared" si="35"/>
        <v>0</v>
      </c>
      <c r="L118" s="89">
        <f t="shared" si="35"/>
        <v>0</v>
      </c>
      <c r="M118" s="89">
        <f t="shared" si="35"/>
        <v>0</v>
      </c>
      <c r="N118" s="89">
        <f t="shared" si="35"/>
        <v>0</v>
      </c>
      <c r="O118" s="89">
        <f t="shared" si="35"/>
        <v>2910203.6699999995</v>
      </c>
      <c r="P118" s="89">
        <f>P102</f>
        <v>0</v>
      </c>
      <c r="Q118" s="102"/>
      <c r="R118" s="1"/>
    </row>
    <row r="119" spans="2:18" x14ac:dyDescent="0.25">
      <c r="B119" s="1"/>
      <c r="C119" s="1"/>
      <c r="D119" s="1"/>
      <c r="E119" s="1"/>
      <c r="F119" s="1"/>
      <c r="G119" s="1"/>
      <c r="H119" s="1"/>
      <c r="I119" s="1"/>
      <c r="J119" s="1"/>
      <c r="K119" s="1"/>
      <c r="L119" s="1"/>
      <c r="M119" s="1"/>
      <c r="N119" s="1"/>
      <c r="O119" s="1"/>
      <c r="P119" s="1"/>
      <c r="Q119" s="1"/>
      <c r="R119" s="1"/>
    </row>
    <row r="120" spans="2:18" x14ac:dyDescent="0.25">
      <c r="B120" s="2" t="s">
        <v>72</v>
      </c>
      <c r="C120" s="1"/>
      <c r="D120" s="1"/>
      <c r="E120" s="1"/>
      <c r="F120" s="1"/>
      <c r="G120" s="1"/>
      <c r="H120" s="1"/>
      <c r="I120" s="1"/>
      <c r="J120" s="1"/>
      <c r="K120" s="1"/>
      <c r="L120" s="1"/>
      <c r="M120" s="1"/>
      <c r="N120" s="1"/>
      <c r="O120" s="1"/>
      <c r="P120" s="1"/>
      <c r="Q120" s="1"/>
      <c r="R120" s="1"/>
    </row>
    <row r="121" spans="2:18" ht="43.5" customHeight="1" x14ac:dyDescent="0.25">
      <c r="B121" s="234" t="s">
        <v>255</v>
      </c>
      <c r="C121" s="234"/>
      <c r="D121" s="234"/>
      <c r="E121" s="234"/>
      <c r="F121" s="234"/>
      <c r="G121" s="234"/>
      <c r="H121" s="234"/>
      <c r="I121" s="234"/>
      <c r="J121" s="234"/>
      <c r="K121" s="234"/>
      <c r="L121" s="234"/>
      <c r="M121" s="234"/>
      <c r="N121" s="234"/>
      <c r="O121" s="234"/>
      <c r="P121" s="234"/>
      <c r="Q121" s="234"/>
      <c r="R121" s="1"/>
    </row>
    <row r="122" spans="2:18" x14ac:dyDescent="0.25">
      <c r="B122" s="1" t="s">
        <v>256</v>
      </c>
      <c r="C122" s="1"/>
      <c r="D122" s="1"/>
      <c r="E122" s="1"/>
      <c r="F122" s="1"/>
      <c r="G122" s="1"/>
      <c r="H122" s="1"/>
      <c r="I122" s="1"/>
      <c r="J122" s="1"/>
      <c r="K122" s="1"/>
      <c r="L122" s="1"/>
      <c r="M122" s="1"/>
      <c r="N122" s="1"/>
      <c r="O122" s="1"/>
      <c r="P122" s="1"/>
      <c r="Q122" s="1"/>
      <c r="R122" s="1"/>
    </row>
    <row r="123" spans="2:18" x14ac:dyDescent="0.25">
      <c r="B123" s="1" t="s">
        <v>163</v>
      </c>
      <c r="C123" s="1"/>
      <c r="D123" s="1"/>
      <c r="E123" s="1"/>
      <c r="F123" s="1"/>
      <c r="G123" s="1"/>
      <c r="H123" s="1"/>
      <c r="I123" s="1"/>
      <c r="J123" s="1"/>
      <c r="K123" s="1"/>
      <c r="L123" s="1"/>
      <c r="M123" s="1"/>
      <c r="N123" s="1"/>
      <c r="O123" s="1"/>
      <c r="P123" s="1"/>
      <c r="Q123" s="1"/>
      <c r="R123" s="1"/>
    </row>
    <row r="124" spans="2:18" x14ac:dyDescent="0.25">
      <c r="B124" s="120" t="s">
        <v>257</v>
      </c>
      <c r="C124" s="1"/>
      <c r="D124" s="1"/>
      <c r="E124" s="1"/>
      <c r="F124" s="1"/>
      <c r="G124" s="1"/>
      <c r="H124" s="1"/>
      <c r="I124" s="1"/>
      <c r="J124" s="1"/>
      <c r="K124" s="1"/>
      <c r="L124" s="1"/>
      <c r="M124" s="1"/>
      <c r="N124" s="1"/>
      <c r="O124" s="1"/>
      <c r="P124" s="1"/>
      <c r="Q124" s="1"/>
      <c r="R124" s="1"/>
    </row>
    <row r="125" spans="2:18" x14ac:dyDescent="0.25">
      <c r="B125" s="1"/>
      <c r="C125" s="1"/>
      <c r="D125" s="1"/>
      <c r="E125" s="1"/>
      <c r="F125" s="1"/>
      <c r="G125" s="1"/>
      <c r="H125" s="1"/>
      <c r="I125" s="1"/>
      <c r="J125" s="1"/>
      <c r="K125" s="1"/>
      <c r="L125" s="1"/>
      <c r="M125" s="1"/>
      <c r="N125" s="1"/>
      <c r="O125" s="1"/>
      <c r="P125" s="1"/>
      <c r="Q125" s="1"/>
      <c r="R125" s="1"/>
    </row>
    <row r="126" spans="2:18" x14ac:dyDescent="0.25">
      <c r="B126" s="1"/>
      <c r="C126" s="1"/>
      <c r="D126" s="1"/>
      <c r="E126" s="1"/>
      <c r="F126" s="1"/>
      <c r="G126" s="1"/>
      <c r="H126" s="1"/>
      <c r="I126" s="1"/>
      <c r="J126" s="1"/>
      <c r="K126" s="1"/>
      <c r="L126" s="1"/>
      <c r="M126" s="1"/>
      <c r="N126" s="1"/>
      <c r="O126" s="1"/>
      <c r="P126" s="1"/>
      <c r="Q126" s="1"/>
      <c r="R126" s="1"/>
    </row>
    <row r="127" spans="2:18" x14ac:dyDescent="0.25">
      <c r="B127" s="1"/>
      <c r="C127" s="1"/>
      <c r="D127" s="1"/>
      <c r="E127" s="1"/>
      <c r="F127" s="1"/>
      <c r="G127" s="1"/>
      <c r="H127" s="1"/>
      <c r="I127" s="1"/>
      <c r="J127" s="1"/>
      <c r="K127" s="1"/>
      <c r="L127" s="1"/>
      <c r="M127" s="1"/>
      <c r="N127" s="1"/>
      <c r="O127" s="1"/>
      <c r="P127" s="1"/>
      <c r="Q127" s="1"/>
      <c r="R127" s="1"/>
    </row>
    <row r="128" spans="2:18" x14ac:dyDescent="0.25">
      <c r="B128" s="1"/>
      <c r="C128" s="1"/>
      <c r="D128" s="1"/>
      <c r="E128" s="1"/>
      <c r="F128" s="1"/>
      <c r="G128" s="1"/>
      <c r="H128" s="1"/>
      <c r="I128" s="1"/>
      <c r="J128" s="1"/>
      <c r="K128" s="1"/>
      <c r="L128" s="1"/>
      <c r="M128" s="1"/>
      <c r="N128" s="1"/>
      <c r="O128" s="1"/>
      <c r="P128" s="1"/>
      <c r="Q128" s="1"/>
      <c r="R128" s="1"/>
    </row>
    <row r="129" spans="2:18" x14ac:dyDescent="0.25">
      <c r="B129" s="1"/>
      <c r="C129" s="1"/>
      <c r="D129" s="1"/>
      <c r="E129" s="1"/>
      <c r="F129" s="1"/>
      <c r="G129" s="1"/>
      <c r="H129" s="1"/>
      <c r="I129" s="1"/>
      <c r="J129" s="1"/>
      <c r="K129" s="1"/>
      <c r="L129" s="1"/>
      <c r="M129" s="1"/>
      <c r="N129" s="1"/>
      <c r="O129" s="1"/>
      <c r="P129" s="1"/>
      <c r="Q129" s="1"/>
      <c r="R129" s="1"/>
    </row>
    <row r="130" spans="2:18" x14ac:dyDescent="0.25">
      <c r="B130" s="1"/>
      <c r="C130" s="1"/>
      <c r="D130" s="1"/>
      <c r="E130" s="1"/>
      <c r="F130" s="1"/>
      <c r="G130" s="1"/>
      <c r="H130" s="1"/>
      <c r="I130" s="1"/>
      <c r="J130" s="1"/>
      <c r="K130" s="1"/>
      <c r="L130" s="1"/>
      <c r="M130" s="1"/>
      <c r="N130" s="1"/>
      <c r="O130" s="1"/>
      <c r="P130" s="1"/>
      <c r="Q130" s="1"/>
      <c r="R130" s="1"/>
    </row>
    <row r="131" spans="2:18" x14ac:dyDescent="0.25">
      <c r="B131" s="1"/>
      <c r="C131" s="1"/>
      <c r="D131" s="1"/>
      <c r="E131" s="1"/>
      <c r="F131" s="1"/>
      <c r="G131" s="1"/>
      <c r="H131" s="1"/>
      <c r="I131" s="1"/>
      <c r="J131" s="1"/>
      <c r="K131" s="1"/>
      <c r="L131" s="1"/>
      <c r="M131" s="1"/>
      <c r="N131" s="1"/>
      <c r="O131" s="1"/>
      <c r="P131" s="1"/>
      <c r="Q131" s="1"/>
      <c r="R131" s="1"/>
    </row>
    <row r="132" spans="2:18" x14ac:dyDescent="0.25">
      <c r="B132" s="1"/>
      <c r="C132" s="1"/>
      <c r="D132" s="1"/>
      <c r="E132" s="1"/>
      <c r="F132" s="1"/>
      <c r="G132" s="1"/>
      <c r="H132" s="1"/>
      <c r="I132" s="1"/>
      <c r="J132" s="1"/>
      <c r="K132" s="1"/>
      <c r="L132" s="1"/>
      <c r="M132" s="1"/>
      <c r="N132" s="1"/>
      <c r="O132" s="1"/>
      <c r="P132" s="1"/>
      <c r="Q132" s="1"/>
      <c r="R132" s="1"/>
    </row>
    <row r="133" spans="2:18" x14ac:dyDescent="0.25">
      <c r="B133" s="1"/>
      <c r="C133" s="1"/>
      <c r="D133" s="1"/>
      <c r="E133" s="1"/>
      <c r="F133" s="1"/>
      <c r="G133" s="1"/>
      <c r="H133" s="1"/>
      <c r="I133" s="1"/>
      <c r="J133" s="1"/>
      <c r="K133" s="1"/>
      <c r="L133" s="1"/>
      <c r="M133" s="1"/>
      <c r="N133" s="1"/>
      <c r="O133" s="1"/>
      <c r="P133" s="1"/>
      <c r="Q133" s="1"/>
      <c r="R133" s="1"/>
    </row>
    <row r="134" spans="2:18" x14ac:dyDescent="0.25">
      <c r="B134" s="1"/>
      <c r="C134" s="1"/>
      <c r="D134" s="1"/>
      <c r="E134" s="1"/>
      <c r="F134" s="1"/>
      <c r="G134" s="1"/>
      <c r="H134" s="1"/>
      <c r="I134" s="1"/>
      <c r="J134" s="1"/>
      <c r="K134" s="1"/>
      <c r="L134" s="1"/>
      <c r="M134" s="1"/>
      <c r="N134" s="1"/>
      <c r="O134" s="1"/>
      <c r="P134" s="1"/>
      <c r="Q134" s="1"/>
      <c r="R134" s="1"/>
    </row>
    <row r="135" spans="2:18" x14ac:dyDescent="0.25">
      <c r="B135" s="1"/>
      <c r="C135" s="1"/>
      <c r="D135" s="1"/>
      <c r="E135" s="1"/>
      <c r="F135" s="1"/>
      <c r="G135" s="1"/>
      <c r="H135" s="1"/>
      <c r="I135" s="1"/>
      <c r="J135" s="1"/>
      <c r="K135" s="1"/>
      <c r="L135" s="1"/>
      <c r="M135" s="1"/>
      <c r="N135" s="1"/>
      <c r="O135" s="1"/>
      <c r="P135" s="1"/>
      <c r="Q135" s="1"/>
      <c r="R135" s="1"/>
    </row>
    <row r="136" spans="2:18" x14ac:dyDescent="0.25">
      <c r="B136" s="1"/>
      <c r="C136" s="1"/>
      <c r="D136" s="1"/>
      <c r="E136" s="1"/>
      <c r="F136" s="1"/>
      <c r="G136" s="1"/>
      <c r="H136" s="1"/>
      <c r="I136" s="1"/>
      <c r="J136" s="1"/>
      <c r="K136" s="1"/>
      <c r="L136" s="1"/>
      <c r="M136" s="1"/>
      <c r="N136" s="1"/>
      <c r="O136" s="1"/>
      <c r="P136" s="1"/>
      <c r="Q136" s="1"/>
      <c r="R136" s="1"/>
    </row>
    <row r="137" spans="2:18" x14ac:dyDescent="0.25">
      <c r="B137" s="1"/>
      <c r="C137" s="1"/>
      <c r="D137" s="1"/>
      <c r="E137" s="1"/>
      <c r="F137" s="1"/>
      <c r="G137" s="1"/>
      <c r="H137" s="1"/>
      <c r="I137" s="1"/>
      <c r="J137" s="1"/>
      <c r="K137" s="1"/>
      <c r="L137" s="1"/>
      <c r="M137" s="1"/>
      <c r="N137" s="1"/>
      <c r="O137" s="1"/>
      <c r="P137" s="1"/>
      <c r="Q137" s="1"/>
      <c r="R137" s="1"/>
    </row>
    <row r="138" spans="2:18" x14ac:dyDescent="0.25">
      <c r="B138" s="1"/>
      <c r="C138" s="1"/>
      <c r="D138" s="1"/>
      <c r="E138" s="1"/>
      <c r="F138" s="1"/>
      <c r="G138" s="1"/>
      <c r="H138" s="1"/>
      <c r="I138" s="1"/>
      <c r="J138" s="1"/>
      <c r="K138" s="1"/>
      <c r="L138" s="1"/>
      <c r="M138" s="1"/>
      <c r="N138" s="1"/>
      <c r="O138" s="1"/>
      <c r="P138" s="1"/>
      <c r="Q138" s="1"/>
      <c r="R138" s="1"/>
    </row>
    <row r="139" spans="2:18" x14ac:dyDescent="0.25">
      <c r="B139" s="1"/>
      <c r="C139" s="1"/>
      <c r="D139" s="1"/>
      <c r="E139" s="1"/>
      <c r="F139" s="1"/>
      <c r="G139" s="1"/>
      <c r="H139" s="1"/>
      <c r="I139" s="1"/>
      <c r="J139" s="1"/>
      <c r="K139" s="1"/>
      <c r="L139" s="1"/>
      <c r="M139" s="1"/>
      <c r="N139" s="1"/>
      <c r="O139" s="1"/>
      <c r="P139" s="1"/>
      <c r="Q139" s="1"/>
      <c r="R139" s="1"/>
    </row>
    <row r="140" spans="2:18" x14ac:dyDescent="0.25">
      <c r="B140" s="1"/>
      <c r="C140" s="1"/>
      <c r="D140" s="1"/>
      <c r="E140" s="1"/>
      <c r="F140" s="1"/>
      <c r="G140" s="1"/>
      <c r="H140" s="1"/>
      <c r="I140" s="1"/>
      <c r="J140" s="1"/>
      <c r="K140" s="1"/>
      <c r="L140" s="1"/>
      <c r="M140" s="1"/>
      <c r="N140" s="1"/>
      <c r="O140" s="1"/>
      <c r="P140" s="1"/>
      <c r="Q140" s="1"/>
      <c r="R140" s="1"/>
    </row>
    <row r="141" spans="2:18" x14ac:dyDescent="0.25">
      <c r="B141" s="1"/>
      <c r="C141" s="1"/>
      <c r="D141" s="1"/>
      <c r="E141" s="1"/>
      <c r="F141" s="1"/>
      <c r="G141" s="1"/>
      <c r="H141" s="1"/>
      <c r="I141" s="1"/>
      <c r="J141" s="1"/>
      <c r="K141" s="1"/>
      <c r="L141" s="1"/>
      <c r="M141" s="1"/>
      <c r="N141" s="1"/>
      <c r="O141" s="1"/>
      <c r="P141" s="1"/>
      <c r="Q141" s="1"/>
      <c r="R141" s="1"/>
    </row>
    <row r="142" spans="2:18" x14ac:dyDescent="0.25">
      <c r="B142" s="1"/>
      <c r="C142" s="1"/>
      <c r="D142" s="1"/>
      <c r="E142" s="1"/>
      <c r="F142" s="1"/>
      <c r="G142" s="1"/>
      <c r="H142" s="1"/>
      <c r="I142" s="1"/>
      <c r="J142" s="1"/>
      <c r="K142" s="1"/>
      <c r="L142" s="1"/>
      <c r="M142" s="1"/>
      <c r="N142" s="1"/>
      <c r="O142" s="1"/>
      <c r="P142" s="1"/>
      <c r="Q142" s="1"/>
      <c r="R142" s="1"/>
    </row>
    <row r="143" spans="2:18" x14ac:dyDescent="0.25">
      <c r="B143" s="1"/>
      <c r="C143" s="1"/>
      <c r="D143" s="1"/>
      <c r="E143" s="1"/>
      <c r="F143" s="1"/>
      <c r="G143" s="1"/>
      <c r="H143" s="1"/>
      <c r="I143" s="1"/>
      <c r="J143" s="1"/>
      <c r="K143" s="1"/>
      <c r="L143" s="1"/>
      <c r="M143" s="1"/>
      <c r="N143" s="1"/>
      <c r="O143" s="1"/>
      <c r="P143" s="1"/>
      <c r="Q143" s="1"/>
      <c r="R143" s="1"/>
    </row>
    <row r="144" spans="2:18" x14ac:dyDescent="0.25">
      <c r="B144" s="1"/>
      <c r="C144" s="1"/>
      <c r="D144" s="1"/>
      <c r="E144" s="1"/>
      <c r="F144" s="1"/>
      <c r="G144" s="1"/>
      <c r="H144" s="1"/>
      <c r="I144" s="1"/>
      <c r="J144" s="1"/>
      <c r="K144" s="1"/>
      <c r="L144" s="1"/>
      <c r="M144" s="1"/>
      <c r="N144" s="1"/>
      <c r="O144" s="1"/>
      <c r="P144" s="1"/>
      <c r="Q144" s="1"/>
      <c r="R144" s="1"/>
    </row>
    <row r="145" spans="2:18" x14ac:dyDescent="0.25">
      <c r="B145" s="1"/>
      <c r="C145" s="1"/>
      <c r="D145" s="1"/>
      <c r="E145" s="1"/>
      <c r="F145" s="1"/>
      <c r="G145" s="1"/>
      <c r="H145" s="1"/>
      <c r="I145" s="1"/>
      <c r="J145" s="1"/>
      <c r="K145" s="1"/>
      <c r="L145" s="1"/>
      <c r="M145" s="1"/>
      <c r="N145" s="1"/>
      <c r="O145" s="1"/>
      <c r="P145" s="1"/>
      <c r="Q145" s="1"/>
      <c r="R145" s="1"/>
    </row>
    <row r="146" spans="2:18" x14ac:dyDescent="0.25">
      <c r="B146" s="1"/>
      <c r="C146" s="1"/>
      <c r="D146" s="1"/>
      <c r="E146" s="1"/>
      <c r="F146" s="1"/>
      <c r="G146" s="1"/>
      <c r="H146" s="1"/>
      <c r="I146" s="1"/>
      <c r="J146" s="1"/>
      <c r="K146" s="1"/>
      <c r="L146" s="1"/>
      <c r="M146" s="1"/>
      <c r="N146" s="1"/>
      <c r="O146" s="1"/>
      <c r="P146" s="1"/>
      <c r="Q146" s="1"/>
      <c r="R146" s="1"/>
    </row>
    <row r="147" spans="2:18" x14ac:dyDescent="0.25">
      <c r="B147" s="1"/>
      <c r="C147" s="1"/>
      <c r="D147" s="1"/>
      <c r="E147" s="1"/>
      <c r="F147" s="1"/>
      <c r="G147" s="1"/>
      <c r="H147" s="1"/>
      <c r="I147" s="1"/>
      <c r="J147" s="1"/>
      <c r="K147" s="1"/>
      <c r="L147" s="1"/>
      <c r="M147" s="1"/>
      <c r="N147" s="1"/>
      <c r="O147" s="1"/>
      <c r="P147" s="1"/>
      <c r="Q147" s="1"/>
      <c r="R147" s="1"/>
    </row>
    <row r="148" spans="2:18" x14ac:dyDescent="0.25">
      <c r="B148" s="1"/>
      <c r="C148" s="1"/>
      <c r="D148" s="1"/>
      <c r="E148" s="1"/>
      <c r="F148" s="1"/>
      <c r="G148" s="1"/>
      <c r="H148" s="1"/>
      <c r="I148" s="1"/>
      <c r="J148" s="1"/>
      <c r="K148" s="1"/>
      <c r="L148" s="1"/>
      <c r="M148" s="1"/>
      <c r="N148" s="1"/>
      <c r="O148" s="1"/>
      <c r="P148" s="1"/>
      <c r="Q148" s="1"/>
      <c r="R148" s="1"/>
    </row>
    <row r="149" spans="2:18" x14ac:dyDescent="0.25">
      <c r="B149" s="1"/>
      <c r="C149" s="1"/>
      <c r="D149" s="1"/>
      <c r="E149" s="1"/>
      <c r="F149" s="1"/>
      <c r="G149" s="1"/>
      <c r="H149" s="1"/>
      <c r="I149" s="1"/>
      <c r="J149" s="1"/>
      <c r="K149" s="1"/>
      <c r="L149" s="1"/>
      <c r="M149" s="1"/>
      <c r="N149" s="1"/>
      <c r="O149" s="1"/>
      <c r="P149" s="1"/>
      <c r="Q149" s="1"/>
      <c r="R149" s="1"/>
    </row>
    <row r="150" spans="2:18" x14ac:dyDescent="0.25">
      <c r="B150" s="1"/>
      <c r="C150" s="1"/>
      <c r="D150" s="1"/>
      <c r="E150" s="1"/>
      <c r="F150" s="1"/>
      <c r="G150" s="1"/>
      <c r="H150" s="1"/>
      <c r="I150" s="1"/>
      <c r="J150" s="1"/>
      <c r="K150" s="1"/>
      <c r="L150" s="1"/>
      <c r="M150" s="1"/>
      <c r="N150" s="1"/>
      <c r="O150" s="1"/>
      <c r="P150" s="1"/>
      <c r="Q150" s="1"/>
      <c r="R150" s="1"/>
    </row>
    <row r="151" spans="2:18" x14ac:dyDescent="0.25">
      <c r="B151" s="1"/>
      <c r="C151" s="1"/>
      <c r="D151" s="1"/>
      <c r="E151" s="1"/>
      <c r="F151" s="1"/>
      <c r="G151" s="1"/>
      <c r="H151" s="1"/>
      <c r="I151" s="1"/>
      <c r="J151" s="1"/>
      <c r="K151" s="1"/>
      <c r="L151" s="1"/>
      <c r="M151" s="1"/>
      <c r="N151" s="1"/>
      <c r="O151" s="1"/>
      <c r="P151" s="1"/>
      <c r="Q151" s="1"/>
      <c r="R151" s="1"/>
    </row>
    <row r="152" spans="2:18" x14ac:dyDescent="0.25">
      <c r="B152" s="1"/>
      <c r="C152" s="1"/>
      <c r="D152" s="1"/>
      <c r="E152" s="1"/>
      <c r="F152" s="1"/>
      <c r="G152" s="1"/>
      <c r="H152" s="1"/>
      <c r="I152" s="1"/>
      <c r="J152" s="1"/>
      <c r="K152" s="1"/>
      <c r="L152" s="1"/>
      <c r="M152" s="1"/>
      <c r="N152" s="1"/>
      <c r="O152" s="1"/>
      <c r="P152" s="1"/>
      <c r="Q152" s="1"/>
      <c r="R152" s="1"/>
    </row>
    <row r="153" spans="2:18" x14ac:dyDescent="0.25">
      <c r="B153" s="1"/>
      <c r="C153" s="1"/>
      <c r="D153" s="1"/>
      <c r="E153" s="1"/>
      <c r="F153" s="1"/>
      <c r="G153" s="1"/>
      <c r="H153" s="1"/>
      <c r="I153" s="1"/>
      <c r="J153" s="1"/>
      <c r="K153" s="1"/>
      <c r="L153" s="1"/>
      <c r="M153" s="1"/>
      <c r="N153" s="1"/>
      <c r="O153" s="1"/>
      <c r="P153" s="1"/>
      <c r="Q153" s="1"/>
      <c r="R153" s="1"/>
    </row>
    <row r="154" spans="2:18" x14ac:dyDescent="0.25">
      <c r="B154" s="1"/>
      <c r="C154" s="1"/>
      <c r="D154" s="1"/>
      <c r="E154" s="1"/>
      <c r="F154" s="1"/>
      <c r="G154" s="1"/>
      <c r="H154" s="1"/>
      <c r="I154" s="1"/>
      <c r="J154" s="1"/>
      <c r="K154" s="1"/>
      <c r="L154" s="1"/>
      <c r="M154" s="1"/>
      <c r="N154" s="1"/>
      <c r="O154" s="1"/>
      <c r="P154" s="1"/>
      <c r="Q154" s="1"/>
      <c r="R154" s="1"/>
    </row>
    <row r="155" spans="2:18" x14ac:dyDescent="0.25">
      <c r="B155" s="1"/>
      <c r="C155" s="1"/>
      <c r="D155" s="1"/>
      <c r="E155" s="1"/>
      <c r="F155" s="1"/>
      <c r="G155" s="1"/>
      <c r="H155" s="1"/>
      <c r="I155" s="1"/>
      <c r="J155" s="1"/>
      <c r="K155" s="1"/>
      <c r="L155" s="1"/>
      <c r="M155" s="1"/>
      <c r="N155" s="1"/>
      <c r="O155" s="1"/>
      <c r="P155" s="1"/>
      <c r="Q155" s="1"/>
      <c r="R155" s="1"/>
    </row>
    <row r="156" spans="2:18" x14ac:dyDescent="0.25">
      <c r="B156" s="1"/>
      <c r="C156" s="1"/>
      <c r="D156" s="1"/>
      <c r="E156" s="1"/>
      <c r="F156" s="1"/>
      <c r="G156" s="1"/>
      <c r="H156" s="1"/>
      <c r="I156" s="1"/>
      <c r="J156" s="1"/>
      <c r="K156" s="1"/>
      <c r="L156" s="1"/>
      <c r="M156" s="1"/>
      <c r="N156" s="1"/>
      <c r="O156" s="1"/>
      <c r="P156" s="1"/>
      <c r="Q156" s="1"/>
      <c r="R156" s="1"/>
    </row>
    <row r="157" spans="2:18" x14ac:dyDescent="0.25">
      <c r="B157" s="1"/>
      <c r="C157" s="1"/>
      <c r="D157" s="1"/>
      <c r="E157" s="1"/>
      <c r="F157" s="1"/>
      <c r="G157" s="1"/>
      <c r="H157" s="1"/>
      <c r="I157" s="1"/>
      <c r="J157" s="1"/>
      <c r="K157" s="1"/>
      <c r="L157" s="1"/>
      <c r="M157" s="1"/>
      <c r="N157" s="1"/>
      <c r="O157" s="1"/>
      <c r="P157" s="1"/>
      <c r="Q157" s="1"/>
      <c r="R157" s="1"/>
    </row>
    <row r="158" spans="2:18" x14ac:dyDescent="0.25">
      <c r="B158" s="1"/>
      <c r="C158" s="1"/>
      <c r="D158" s="1"/>
      <c r="E158" s="1"/>
      <c r="F158" s="1"/>
      <c r="G158" s="1"/>
      <c r="H158" s="1"/>
      <c r="I158" s="1"/>
      <c r="J158" s="1"/>
      <c r="K158" s="1"/>
      <c r="L158" s="1"/>
      <c r="M158" s="1"/>
      <c r="N158" s="1"/>
      <c r="O158" s="1"/>
      <c r="P158" s="1"/>
      <c r="Q158" s="1"/>
      <c r="R158" s="1"/>
    </row>
    <row r="159" spans="2:18" x14ac:dyDescent="0.25">
      <c r="B159" s="1"/>
      <c r="C159" s="1"/>
      <c r="D159" s="1"/>
      <c r="E159" s="1"/>
      <c r="F159" s="1"/>
      <c r="G159" s="1"/>
      <c r="H159" s="1"/>
      <c r="I159" s="1"/>
      <c r="J159" s="1"/>
      <c r="K159" s="1"/>
      <c r="L159" s="1"/>
      <c r="M159" s="1"/>
      <c r="N159" s="1"/>
      <c r="O159" s="1"/>
      <c r="P159" s="1"/>
      <c r="Q159" s="1"/>
      <c r="R159" s="1"/>
    </row>
    <row r="160" spans="2:18" x14ac:dyDescent="0.25">
      <c r="B160" s="1"/>
      <c r="C160" s="1"/>
      <c r="D160" s="1"/>
      <c r="E160" s="1"/>
      <c r="F160" s="1"/>
      <c r="G160" s="1"/>
      <c r="H160" s="1"/>
      <c r="I160" s="1"/>
      <c r="J160" s="1"/>
      <c r="K160" s="1"/>
      <c r="L160" s="1"/>
      <c r="M160" s="1"/>
      <c r="N160" s="1"/>
      <c r="O160" s="1"/>
      <c r="P160" s="1"/>
      <c r="Q160" s="1"/>
      <c r="R160" s="1"/>
    </row>
    <row r="161" spans="2:18" x14ac:dyDescent="0.25">
      <c r="B161" s="1"/>
      <c r="C161" s="1"/>
      <c r="D161" s="1"/>
      <c r="E161" s="1"/>
      <c r="F161" s="1"/>
      <c r="G161" s="1"/>
      <c r="H161" s="1"/>
      <c r="I161" s="1"/>
      <c r="J161" s="1"/>
      <c r="K161" s="1"/>
      <c r="L161" s="1"/>
      <c r="M161" s="1"/>
      <c r="N161" s="1"/>
      <c r="O161" s="1"/>
      <c r="P161" s="1"/>
      <c r="Q161" s="1"/>
      <c r="R161" s="1"/>
    </row>
    <row r="162" spans="2:18" x14ac:dyDescent="0.25">
      <c r="B162" s="1"/>
      <c r="C162" s="1"/>
      <c r="D162" s="1"/>
      <c r="E162" s="1"/>
      <c r="F162" s="1"/>
      <c r="G162" s="1"/>
      <c r="H162" s="1"/>
      <c r="I162" s="1"/>
      <c r="J162" s="1"/>
      <c r="K162" s="1"/>
      <c r="L162" s="1"/>
      <c r="M162" s="1"/>
      <c r="N162" s="1"/>
      <c r="O162" s="1"/>
      <c r="P162" s="1"/>
      <c r="Q162" s="1"/>
      <c r="R162" s="1"/>
    </row>
    <row r="163" spans="2:18" x14ac:dyDescent="0.25">
      <c r="B163" s="1"/>
      <c r="C163" s="1"/>
      <c r="D163" s="1"/>
      <c r="E163" s="1"/>
      <c r="F163" s="1"/>
      <c r="G163" s="1"/>
      <c r="H163" s="1"/>
      <c r="I163" s="1"/>
      <c r="J163" s="1"/>
      <c r="K163" s="1"/>
      <c r="L163" s="1"/>
      <c r="M163" s="1"/>
      <c r="N163" s="1"/>
      <c r="O163" s="1"/>
      <c r="P163" s="1"/>
      <c r="Q163" s="1"/>
      <c r="R163" s="1"/>
    </row>
    <row r="164" spans="2:18" x14ac:dyDescent="0.25">
      <c r="B164" s="1"/>
      <c r="C164" s="1"/>
      <c r="D164" s="1"/>
      <c r="E164" s="1"/>
      <c r="F164" s="1"/>
      <c r="G164" s="1"/>
      <c r="H164" s="1"/>
      <c r="I164" s="1"/>
      <c r="J164" s="1"/>
      <c r="K164" s="1"/>
      <c r="L164" s="1"/>
      <c r="M164" s="1"/>
      <c r="N164" s="1"/>
      <c r="O164" s="1"/>
      <c r="P164" s="1"/>
      <c r="Q164" s="1"/>
      <c r="R164" s="1"/>
    </row>
    <row r="165" spans="2:18" x14ac:dyDescent="0.25">
      <c r="B165" s="1"/>
      <c r="C165" s="1"/>
      <c r="D165" s="1"/>
      <c r="E165" s="1"/>
      <c r="F165" s="1"/>
      <c r="G165" s="1"/>
      <c r="H165" s="1"/>
      <c r="I165" s="1"/>
      <c r="J165" s="1"/>
      <c r="K165" s="1"/>
      <c r="L165" s="1"/>
      <c r="M165" s="1"/>
      <c r="N165" s="1"/>
      <c r="O165" s="1"/>
      <c r="P165" s="1"/>
      <c r="Q165" s="1"/>
      <c r="R165" s="1"/>
    </row>
    <row r="166" spans="2:18" x14ac:dyDescent="0.25">
      <c r="B166" s="1"/>
      <c r="C166" s="1"/>
      <c r="D166" s="1"/>
      <c r="E166" s="1"/>
      <c r="F166" s="1"/>
      <c r="G166" s="1"/>
      <c r="H166" s="1"/>
      <c r="I166" s="1"/>
      <c r="J166" s="1"/>
      <c r="K166" s="1"/>
      <c r="L166" s="1"/>
      <c r="M166" s="1"/>
      <c r="N166" s="1"/>
      <c r="O166" s="1"/>
      <c r="P166" s="1"/>
      <c r="Q166" s="1"/>
      <c r="R166" s="1"/>
    </row>
    <row r="167" spans="2:18" x14ac:dyDescent="0.25">
      <c r="B167" s="1"/>
      <c r="C167" s="1"/>
      <c r="D167" s="1"/>
      <c r="E167" s="1"/>
      <c r="F167" s="1"/>
      <c r="G167" s="1"/>
      <c r="H167" s="1"/>
      <c r="I167" s="1"/>
      <c r="J167" s="1"/>
      <c r="K167" s="1"/>
      <c r="L167" s="1"/>
      <c r="M167" s="1"/>
      <c r="N167" s="1"/>
      <c r="O167" s="1"/>
      <c r="P167" s="1"/>
      <c r="Q167" s="1"/>
      <c r="R167" s="1"/>
    </row>
    <row r="168" spans="2:18" x14ac:dyDescent="0.25">
      <c r="B168" s="1"/>
      <c r="C168" s="1"/>
      <c r="D168" s="1"/>
      <c r="E168" s="1"/>
      <c r="F168" s="1"/>
      <c r="G168" s="1"/>
      <c r="H168" s="1"/>
      <c r="I168" s="1"/>
      <c r="J168" s="1"/>
      <c r="K168" s="1"/>
      <c r="L168" s="1"/>
      <c r="M168" s="1"/>
      <c r="N168" s="1"/>
      <c r="O168" s="1"/>
      <c r="P168" s="1"/>
      <c r="Q168" s="1"/>
      <c r="R168" s="1"/>
    </row>
    <row r="169" spans="2:18" x14ac:dyDescent="0.25">
      <c r="B169" s="1"/>
      <c r="C169" s="1"/>
      <c r="D169" s="1"/>
      <c r="E169" s="1"/>
      <c r="F169" s="1"/>
      <c r="G169" s="1"/>
      <c r="H169" s="1"/>
      <c r="I169" s="1"/>
      <c r="J169" s="1"/>
      <c r="K169" s="1"/>
      <c r="L169" s="1"/>
      <c r="M169" s="1"/>
      <c r="N169" s="1"/>
      <c r="O169" s="1"/>
      <c r="P169" s="1"/>
      <c r="Q169" s="1"/>
      <c r="R169" s="1"/>
    </row>
    <row r="170" spans="2:18" x14ac:dyDescent="0.25">
      <c r="B170" s="1"/>
      <c r="C170" s="1"/>
      <c r="D170" s="1"/>
      <c r="E170" s="1"/>
      <c r="F170" s="1"/>
      <c r="G170" s="1"/>
      <c r="H170" s="1"/>
      <c r="I170" s="1"/>
      <c r="J170" s="1"/>
      <c r="K170" s="1"/>
      <c r="L170" s="1"/>
      <c r="M170" s="1"/>
      <c r="N170" s="1"/>
      <c r="O170" s="1"/>
      <c r="P170" s="1"/>
      <c r="Q170" s="1"/>
      <c r="R170" s="1"/>
    </row>
    <row r="171" spans="2:18" x14ac:dyDescent="0.25">
      <c r="B171" s="1"/>
      <c r="C171" s="1"/>
      <c r="D171" s="1"/>
      <c r="E171" s="1"/>
      <c r="F171" s="1"/>
      <c r="G171" s="1"/>
      <c r="H171" s="1"/>
      <c r="I171" s="1"/>
      <c r="J171" s="1"/>
      <c r="K171" s="1"/>
      <c r="L171" s="1"/>
      <c r="M171" s="1"/>
      <c r="N171" s="1"/>
      <c r="O171" s="1"/>
      <c r="P171" s="1"/>
      <c r="Q171" s="1"/>
      <c r="R171" s="1"/>
    </row>
    <row r="172" spans="2:18" x14ac:dyDescent="0.25">
      <c r="B172" s="1"/>
      <c r="C172" s="1"/>
      <c r="D172" s="1"/>
      <c r="E172" s="1"/>
      <c r="F172" s="1"/>
      <c r="G172" s="1"/>
      <c r="H172" s="1"/>
      <c r="I172" s="1"/>
      <c r="J172" s="1"/>
      <c r="K172" s="1"/>
      <c r="L172" s="1"/>
      <c r="M172" s="1"/>
      <c r="N172" s="1"/>
      <c r="O172" s="1"/>
      <c r="P172" s="1"/>
      <c r="Q172" s="1"/>
      <c r="R172" s="1"/>
    </row>
    <row r="173" spans="2:18" x14ac:dyDescent="0.25">
      <c r="B173" s="1"/>
      <c r="C173" s="1"/>
      <c r="D173" s="1"/>
      <c r="E173" s="1"/>
      <c r="F173" s="1"/>
      <c r="G173" s="1"/>
      <c r="H173" s="1"/>
      <c r="I173" s="1"/>
      <c r="J173" s="1"/>
      <c r="K173" s="1"/>
      <c r="L173" s="1"/>
      <c r="M173" s="1"/>
      <c r="N173" s="1"/>
      <c r="O173" s="1"/>
      <c r="P173" s="1"/>
      <c r="Q173" s="1"/>
      <c r="R173" s="1"/>
    </row>
    <row r="174" spans="2:18" x14ac:dyDescent="0.25">
      <c r="B174" s="1"/>
      <c r="C174" s="1"/>
      <c r="D174" s="1"/>
      <c r="E174" s="1"/>
      <c r="F174" s="1"/>
      <c r="G174" s="1"/>
      <c r="H174" s="1"/>
      <c r="I174" s="1"/>
      <c r="J174" s="1"/>
      <c r="K174" s="1"/>
      <c r="L174" s="1"/>
      <c r="M174" s="1"/>
      <c r="N174" s="1"/>
      <c r="O174" s="1"/>
      <c r="P174" s="1"/>
      <c r="Q174" s="1"/>
      <c r="R174" s="1"/>
    </row>
    <row r="175" spans="2:18" x14ac:dyDescent="0.25">
      <c r="B175" s="1"/>
      <c r="C175" s="1"/>
      <c r="D175" s="1"/>
      <c r="E175" s="1"/>
      <c r="F175" s="1"/>
      <c r="G175" s="1"/>
      <c r="H175" s="1"/>
      <c r="I175" s="1"/>
      <c r="J175" s="1"/>
      <c r="K175" s="1"/>
      <c r="L175" s="1"/>
      <c r="M175" s="1"/>
      <c r="N175" s="1"/>
      <c r="O175" s="1"/>
      <c r="P175" s="1"/>
      <c r="Q175" s="1"/>
      <c r="R175" s="1"/>
    </row>
    <row r="176" spans="2:18" x14ac:dyDescent="0.25">
      <c r="B176" s="1"/>
      <c r="C176" s="1"/>
      <c r="D176" s="1"/>
      <c r="E176" s="1"/>
      <c r="F176" s="1"/>
      <c r="G176" s="1"/>
      <c r="H176" s="1"/>
      <c r="I176" s="1"/>
      <c r="J176" s="1"/>
      <c r="K176" s="1"/>
      <c r="L176" s="1"/>
      <c r="M176" s="1"/>
      <c r="N176" s="1"/>
      <c r="O176" s="1"/>
      <c r="P176" s="1"/>
      <c r="Q176" s="1"/>
      <c r="R176" s="1"/>
    </row>
    <row r="177" spans="2:18" x14ac:dyDescent="0.25">
      <c r="B177" s="1"/>
      <c r="C177" s="1"/>
      <c r="D177" s="1"/>
      <c r="E177" s="1"/>
      <c r="F177" s="1"/>
      <c r="G177" s="1"/>
      <c r="H177" s="1"/>
      <c r="I177" s="1"/>
      <c r="J177" s="1"/>
      <c r="K177" s="1"/>
      <c r="L177" s="1"/>
      <c r="M177" s="1"/>
      <c r="N177" s="1"/>
      <c r="O177" s="1"/>
      <c r="P177" s="1"/>
      <c r="Q177" s="1"/>
      <c r="R177" s="1"/>
    </row>
    <row r="178" spans="2:18" x14ac:dyDescent="0.25">
      <c r="B178" s="1"/>
      <c r="C178" s="1"/>
      <c r="D178" s="1"/>
      <c r="E178" s="1"/>
      <c r="F178" s="1"/>
      <c r="G178" s="1"/>
      <c r="H178" s="1"/>
      <c r="I178" s="1"/>
      <c r="J178" s="1"/>
      <c r="K178" s="1"/>
      <c r="L178" s="1"/>
      <c r="M178" s="1"/>
      <c r="N178" s="1"/>
      <c r="O178" s="1"/>
      <c r="P178" s="1"/>
      <c r="Q178" s="1"/>
      <c r="R178" s="1"/>
    </row>
    <row r="179" spans="2:18" x14ac:dyDescent="0.25">
      <c r="B179" s="1"/>
      <c r="C179" s="1"/>
      <c r="D179" s="1"/>
      <c r="E179" s="1"/>
      <c r="F179" s="1"/>
      <c r="G179" s="1"/>
      <c r="H179" s="1"/>
      <c r="I179" s="1"/>
      <c r="J179" s="1"/>
      <c r="K179" s="1"/>
      <c r="L179" s="1"/>
      <c r="M179" s="1"/>
      <c r="N179" s="1"/>
      <c r="O179" s="1"/>
      <c r="P179" s="1"/>
      <c r="Q179" s="1"/>
      <c r="R179" s="1"/>
    </row>
    <row r="180" spans="2:18" x14ac:dyDescent="0.25">
      <c r="B180" s="1"/>
      <c r="C180" s="1"/>
      <c r="D180" s="1"/>
      <c r="E180" s="1"/>
      <c r="F180" s="1"/>
      <c r="G180" s="1"/>
      <c r="H180" s="1"/>
      <c r="I180" s="1"/>
      <c r="J180" s="1"/>
      <c r="K180" s="1"/>
      <c r="L180" s="1"/>
      <c r="M180" s="1"/>
      <c r="N180" s="1"/>
      <c r="O180" s="1"/>
      <c r="P180" s="1"/>
      <c r="Q180" s="1"/>
      <c r="R180" s="1"/>
    </row>
    <row r="181" spans="2:18" x14ac:dyDescent="0.25">
      <c r="B181" s="1"/>
      <c r="C181" s="1"/>
      <c r="D181" s="1"/>
      <c r="E181" s="1"/>
      <c r="F181" s="1"/>
      <c r="G181" s="1"/>
      <c r="H181" s="1"/>
      <c r="I181" s="1"/>
      <c r="J181" s="1"/>
      <c r="K181" s="1"/>
      <c r="L181" s="1"/>
      <c r="M181" s="1"/>
      <c r="N181" s="1"/>
      <c r="O181" s="1"/>
      <c r="P181" s="1"/>
      <c r="Q181" s="1"/>
      <c r="R181" s="1"/>
    </row>
    <row r="182" spans="2:18" x14ac:dyDescent="0.25">
      <c r="B182" s="1"/>
      <c r="C182" s="1"/>
      <c r="D182" s="1"/>
      <c r="E182" s="1"/>
      <c r="F182" s="1"/>
      <c r="G182" s="1"/>
      <c r="H182" s="1"/>
      <c r="I182" s="1"/>
      <c r="J182" s="1"/>
      <c r="K182" s="1"/>
      <c r="L182" s="1"/>
      <c r="M182" s="1"/>
      <c r="N182" s="1"/>
      <c r="O182" s="1"/>
      <c r="P182" s="1"/>
      <c r="Q182" s="1"/>
      <c r="R182" s="1"/>
    </row>
    <row r="183" spans="2:18" x14ac:dyDescent="0.25">
      <c r="B183" s="1"/>
      <c r="C183" s="1"/>
      <c r="D183" s="1"/>
      <c r="E183" s="1"/>
      <c r="F183" s="1"/>
      <c r="G183" s="1"/>
      <c r="H183" s="1"/>
      <c r="I183" s="1"/>
      <c r="J183" s="1"/>
      <c r="K183" s="1"/>
      <c r="L183" s="1"/>
      <c r="M183" s="1"/>
      <c r="N183" s="1"/>
      <c r="O183" s="1"/>
      <c r="P183" s="1"/>
      <c r="Q183" s="1"/>
      <c r="R183" s="1"/>
    </row>
    <row r="184" spans="2:18" x14ac:dyDescent="0.25">
      <c r="B184" s="1"/>
      <c r="C184" s="1"/>
      <c r="D184" s="1"/>
      <c r="E184" s="1"/>
      <c r="F184" s="1"/>
      <c r="G184" s="1"/>
      <c r="H184" s="1"/>
      <c r="I184" s="1"/>
      <c r="J184" s="1"/>
      <c r="K184" s="1"/>
      <c r="L184" s="1"/>
      <c r="M184" s="1"/>
      <c r="N184" s="1"/>
      <c r="O184" s="1"/>
      <c r="P184" s="1"/>
      <c r="Q184" s="1"/>
      <c r="R184" s="1"/>
    </row>
    <row r="185" spans="2:18" x14ac:dyDescent="0.25">
      <c r="B185" s="1"/>
      <c r="C185" s="1"/>
      <c r="D185" s="1"/>
      <c r="E185" s="1"/>
      <c r="F185" s="1"/>
      <c r="G185" s="1"/>
      <c r="H185" s="1"/>
      <c r="I185" s="1"/>
      <c r="J185" s="1"/>
      <c r="K185" s="1"/>
      <c r="L185" s="1"/>
      <c r="M185" s="1"/>
      <c r="N185" s="1"/>
      <c r="O185" s="1"/>
      <c r="P185" s="1"/>
      <c r="Q185" s="1"/>
      <c r="R185" s="1"/>
    </row>
    <row r="186" spans="2:18" x14ac:dyDescent="0.25">
      <c r="B186" s="1"/>
      <c r="C186" s="1"/>
      <c r="D186" s="1"/>
      <c r="E186" s="1"/>
      <c r="F186" s="1"/>
      <c r="G186" s="1"/>
      <c r="H186" s="1"/>
      <c r="I186" s="1"/>
      <c r="J186" s="1"/>
      <c r="K186" s="1"/>
      <c r="L186" s="1"/>
      <c r="M186" s="1"/>
      <c r="N186" s="1"/>
      <c r="O186" s="1"/>
      <c r="P186" s="1"/>
      <c r="Q186" s="1"/>
      <c r="R186" s="1"/>
    </row>
    <row r="187" spans="2:18" x14ac:dyDescent="0.25">
      <c r="B187" s="1"/>
      <c r="C187" s="1"/>
      <c r="D187" s="1"/>
      <c r="E187" s="1"/>
      <c r="F187" s="1"/>
      <c r="G187" s="1"/>
      <c r="H187" s="1"/>
      <c r="I187" s="1"/>
      <c r="J187" s="1"/>
      <c r="K187" s="1"/>
      <c r="L187" s="1"/>
      <c r="M187" s="1"/>
      <c r="N187" s="1"/>
      <c r="O187" s="1"/>
      <c r="P187" s="1"/>
      <c r="Q187" s="1"/>
      <c r="R187" s="1"/>
    </row>
    <row r="188" spans="2:18" x14ac:dyDescent="0.25">
      <c r="B188" s="1"/>
      <c r="C188" s="1"/>
      <c r="D188" s="1"/>
      <c r="E188" s="1"/>
      <c r="F188" s="1"/>
      <c r="G188" s="1"/>
      <c r="H188" s="1"/>
      <c r="I188" s="1"/>
      <c r="J188" s="1"/>
      <c r="K188" s="1"/>
      <c r="L188" s="1"/>
      <c r="M188" s="1"/>
      <c r="N188" s="1"/>
      <c r="O188" s="1"/>
      <c r="P188" s="1"/>
      <c r="Q188" s="1"/>
      <c r="R188" s="1"/>
    </row>
    <row r="189" spans="2:18" x14ac:dyDescent="0.25">
      <c r="B189" s="1"/>
      <c r="C189" s="1"/>
      <c r="D189" s="1"/>
      <c r="E189" s="1"/>
      <c r="F189" s="1"/>
      <c r="G189" s="1"/>
      <c r="H189" s="1"/>
      <c r="I189" s="1"/>
      <c r="J189" s="1"/>
      <c r="K189" s="1"/>
      <c r="L189" s="1"/>
      <c r="M189" s="1"/>
      <c r="N189" s="1"/>
      <c r="O189" s="1"/>
      <c r="P189" s="1"/>
      <c r="Q189" s="1"/>
      <c r="R189" s="1"/>
    </row>
    <row r="190" spans="2:18" x14ac:dyDescent="0.25">
      <c r="B190" s="1"/>
      <c r="C190" s="1"/>
      <c r="D190" s="1"/>
      <c r="E190" s="1"/>
      <c r="F190" s="1"/>
      <c r="G190" s="1"/>
      <c r="H190" s="1"/>
      <c r="I190" s="1"/>
      <c r="J190" s="1"/>
      <c r="K190" s="1"/>
      <c r="L190" s="1"/>
      <c r="M190" s="1"/>
      <c r="N190" s="1"/>
      <c r="O190" s="1"/>
      <c r="P190" s="1"/>
      <c r="Q190" s="1"/>
      <c r="R190" s="1"/>
    </row>
    <row r="191" spans="2:18" x14ac:dyDescent="0.25">
      <c r="B191" s="1"/>
      <c r="C191" s="1"/>
      <c r="D191" s="1"/>
      <c r="E191" s="1"/>
      <c r="F191" s="1"/>
      <c r="G191" s="1"/>
      <c r="H191" s="1"/>
      <c r="I191" s="1"/>
      <c r="J191" s="1"/>
      <c r="K191" s="1"/>
      <c r="L191" s="1"/>
      <c r="M191" s="1"/>
      <c r="N191" s="1"/>
      <c r="O191" s="1"/>
      <c r="P191" s="1"/>
      <c r="Q191" s="1"/>
      <c r="R191" s="1"/>
    </row>
    <row r="192" spans="2:18" x14ac:dyDescent="0.25">
      <c r="B192" s="1"/>
      <c r="C192" s="1"/>
      <c r="D192" s="1"/>
      <c r="E192" s="1"/>
      <c r="F192" s="1"/>
      <c r="G192" s="1"/>
      <c r="H192" s="1"/>
      <c r="I192" s="1"/>
      <c r="J192" s="1"/>
      <c r="K192" s="1"/>
      <c r="L192" s="1"/>
      <c r="M192" s="1"/>
      <c r="N192" s="1"/>
      <c r="O192" s="1"/>
      <c r="P192" s="1"/>
      <c r="Q192" s="1"/>
      <c r="R192" s="1"/>
    </row>
    <row r="193" spans="2:18" x14ac:dyDescent="0.25">
      <c r="B193" s="1"/>
      <c r="C193" s="1"/>
      <c r="D193" s="1"/>
      <c r="E193" s="1"/>
      <c r="F193" s="1"/>
      <c r="G193" s="1"/>
      <c r="H193" s="1"/>
      <c r="I193" s="1"/>
      <c r="J193" s="1"/>
      <c r="K193" s="1"/>
      <c r="L193" s="1"/>
      <c r="M193" s="1"/>
      <c r="N193" s="1"/>
      <c r="O193" s="1"/>
      <c r="P193" s="1"/>
      <c r="Q193" s="1"/>
      <c r="R193" s="1"/>
    </row>
    <row r="194" spans="2:18" x14ac:dyDescent="0.25">
      <c r="B194" s="1"/>
      <c r="C194" s="1"/>
      <c r="D194" s="1"/>
      <c r="E194" s="1"/>
      <c r="F194" s="1"/>
      <c r="G194" s="1"/>
      <c r="H194" s="1"/>
      <c r="I194" s="1"/>
      <c r="J194" s="1"/>
      <c r="K194" s="1"/>
      <c r="L194" s="1"/>
      <c r="M194" s="1"/>
      <c r="N194" s="1"/>
      <c r="O194" s="1"/>
      <c r="P194" s="1"/>
      <c r="Q194" s="1"/>
      <c r="R194" s="1"/>
    </row>
    <row r="195" spans="2:18" x14ac:dyDescent="0.25">
      <c r="B195" s="1"/>
      <c r="C195" s="1"/>
      <c r="D195" s="1"/>
      <c r="E195" s="1"/>
      <c r="F195" s="1"/>
      <c r="G195" s="1"/>
      <c r="H195" s="1"/>
      <c r="I195" s="1"/>
      <c r="J195" s="1"/>
      <c r="K195" s="1"/>
      <c r="L195" s="1"/>
      <c r="M195" s="1"/>
      <c r="N195" s="1"/>
      <c r="O195" s="1"/>
      <c r="P195" s="1"/>
      <c r="Q195" s="1"/>
      <c r="R195" s="1"/>
    </row>
    <row r="196" spans="2:18" x14ac:dyDescent="0.25">
      <c r="B196" s="1"/>
      <c r="C196" s="1"/>
      <c r="D196" s="1"/>
      <c r="E196" s="1"/>
      <c r="F196" s="1"/>
      <c r="G196" s="1"/>
      <c r="H196" s="1"/>
      <c r="I196" s="1"/>
      <c r="J196" s="1"/>
      <c r="K196" s="1"/>
      <c r="L196" s="1"/>
      <c r="M196" s="1"/>
      <c r="N196" s="1"/>
      <c r="O196" s="1"/>
      <c r="P196" s="1"/>
      <c r="Q196" s="1"/>
      <c r="R196" s="1"/>
    </row>
    <row r="197" spans="2:18" x14ac:dyDescent="0.25">
      <c r="B197" s="1"/>
      <c r="C197" s="1"/>
      <c r="D197" s="1"/>
      <c r="E197" s="1"/>
      <c r="F197" s="1"/>
      <c r="G197" s="1"/>
      <c r="H197" s="1"/>
      <c r="I197" s="1"/>
      <c r="J197" s="1"/>
      <c r="K197" s="1"/>
      <c r="L197" s="1"/>
      <c r="M197" s="1"/>
      <c r="N197" s="1"/>
      <c r="O197" s="1"/>
      <c r="P197" s="1"/>
      <c r="Q197" s="1"/>
      <c r="R197" s="1"/>
    </row>
    <row r="198" spans="2:18" x14ac:dyDescent="0.25">
      <c r="B198" s="1"/>
      <c r="C198" s="1"/>
      <c r="D198" s="1"/>
      <c r="E198" s="1"/>
      <c r="F198" s="1"/>
      <c r="G198" s="1"/>
      <c r="H198" s="1"/>
      <c r="I198" s="1"/>
      <c r="J198" s="1"/>
      <c r="K198" s="1"/>
      <c r="L198" s="1"/>
      <c r="M198" s="1"/>
      <c r="N198" s="1"/>
      <c r="O198" s="1"/>
      <c r="P198" s="1"/>
      <c r="Q198" s="1"/>
      <c r="R198" s="1"/>
    </row>
    <row r="199" spans="2:18" x14ac:dyDescent="0.25">
      <c r="B199" s="1"/>
      <c r="C199" s="1"/>
      <c r="D199" s="1"/>
      <c r="E199" s="1"/>
      <c r="F199" s="1"/>
      <c r="G199" s="1"/>
      <c r="H199" s="1"/>
      <c r="I199" s="1"/>
      <c r="J199" s="1"/>
      <c r="K199" s="1"/>
      <c r="L199" s="1"/>
      <c r="M199" s="1"/>
      <c r="N199" s="1"/>
      <c r="O199" s="1"/>
      <c r="P199" s="1"/>
      <c r="Q199" s="1"/>
      <c r="R199" s="1"/>
    </row>
    <row r="200" spans="2:18" x14ac:dyDescent="0.25">
      <c r="B200" s="1"/>
      <c r="C200" s="1"/>
      <c r="D200" s="1"/>
      <c r="E200" s="1"/>
      <c r="F200" s="1"/>
      <c r="G200" s="1"/>
      <c r="H200" s="1"/>
      <c r="I200" s="1"/>
      <c r="J200" s="1"/>
      <c r="K200" s="1"/>
      <c r="L200" s="1"/>
      <c r="M200" s="1"/>
      <c r="N200" s="1"/>
      <c r="O200" s="1"/>
      <c r="P200" s="1"/>
      <c r="Q200" s="1"/>
      <c r="R200" s="1"/>
    </row>
    <row r="201" spans="2:18" x14ac:dyDescent="0.25">
      <c r="B201" s="1"/>
      <c r="C201" s="1"/>
      <c r="D201" s="1"/>
      <c r="E201" s="1"/>
      <c r="F201" s="1"/>
      <c r="G201" s="1"/>
      <c r="H201" s="1"/>
      <c r="I201" s="1"/>
      <c r="J201" s="1"/>
      <c r="K201" s="1"/>
      <c r="L201" s="1"/>
      <c r="M201" s="1"/>
      <c r="N201" s="1"/>
      <c r="O201" s="1"/>
      <c r="P201" s="1"/>
      <c r="Q201" s="1"/>
      <c r="R201" s="1"/>
    </row>
    <row r="202" spans="2:18" x14ac:dyDescent="0.25">
      <c r="B202" s="1"/>
      <c r="C202" s="1"/>
      <c r="D202" s="1"/>
      <c r="E202" s="1"/>
      <c r="F202" s="1"/>
      <c r="G202" s="1"/>
      <c r="H202" s="1"/>
      <c r="I202" s="1"/>
      <c r="J202" s="1"/>
      <c r="K202" s="1"/>
      <c r="L202" s="1"/>
      <c r="M202" s="1"/>
      <c r="N202" s="1"/>
      <c r="O202" s="1"/>
      <c r="P202" s="1"/>
      <c r="Q202" s="1"/>
      <c r="R202" s="1"/>
    </row>
    <row r="203" spans="2:18" x14ac:dyDescent="0.25">
      <c r="B203" s="1"/>
      <c r="C203" s="1"/>
      <c r="D203" s="1"/>
      <c r="E203" s="1"/>
      <c r="F203" s="1"/>
      <c r="G203" s="1"/>
      <c r="H203" s="1"/>
      <c r="I203" s="1"/>
      <c r="J203" s="1"/>
      <c r="K203" s="1"/>
      <c r="L203" s="1"/>
      <c r="M203" s="1"/>
      <c r="N203" s="1"/>
      <c r="O203" s="1"/>
      <c r="P203" s="1"/>
      <c r="Q203" s="1"/>
      <c r="R203" s="1"/>
    </row>
    <row r="204" spans="2:18" x14ac:dyDescent="0.25">
      <c r="B204" s="1"/>
      <c r="C204" s="1"/>
      <c r="D204" s="1"/>
      <c r="E204" s="1"/>
      <c r="F204" s="1"/>
      <c r="G204" s="1"/>
      <c r="H204" s="1"/>
      <c r="I204" s="1"/>
      <c r="J204" s="1"/>
      <c r="K204" s="1"/>
      <c r="L204" s="1"/>
      <c r="M204" s="1"/>
      <c r="N204" s="1"/>
      <c r="O204" s="1"/>
      <c r="P204" s="1"/>
      <c r="Q204" s="1"/>
      <c r="R204" s="1"/>
    </row>
    <row r="205" spans="2:18" x14ac:dyDescent="0.25">
      <c r="B205" s="1"/>
      <c r="C205" s="1"/>
      <c r="D205" s="1"/>
      <c r="E205" s="1"/>
      <c r="F205" s="1"/>
      <c r="G205" s="1"/>
      <c r="H205" s="1"/>
      <c r="I205" s="1"/>
      <c r="J205" s="1"/>
      <c r="K205" s="1"/>
      <c r="L205" s="1"/>
      <c r="M205" s="1"/>
      <c r="N205" s="1"/>
      <c r="O205" s="1"/>
      <c r="P205" s="1"/>
      <c r="Q205" s="1"/>
      <c r="R205" s="1"/>
    </row>
    <row r="206" spans="2:18" x14ac:dyDescent="0.25">
      <c r="B206" s="1"/>
      <c r="C206" s="1"/>
      <c r="D206" s="1"/>
      <c r="E206" s="1"/>
      <c r="F206" s="1"/>
      <c r="G206" s="1"/>
      <c r="H206" s="1"/>
      <c r="I206" s="1"/>
      <c r="J206" s="1"/>
      <c r="K206" s="1"/>
      <c r="L206" s="1"/>
      <c r="M206" s="1"/>
      <c r="N206" s="1"/>
      <c r="O206" s="1"/>
      <c r="P206" s="1"/>
      <c r="Q206" s="1"/>
      <c r="R206" s="1"/>
    </row>
    <row r="207" spans="2:18" x14ac:dyDescent="0.25">
      <c r="B207" s="1"/>
      <c r="C207" s="1"/>
      <c r="D207" s="1"/>
      <c r="E207" s="1"/>
      <c r="F207" s="1"/>
      <c r="G207" s="1"/>
      <c r="H207" s="1"/>
      <c r="I207" s="1"/>
      <c r="J207" s="1"/>
      <c r="K207" s="1"/>
      <c r="L207" s="1"/>
      <c r="M207" s="1"/>
      <c r="N207" s="1"/>
      <c r="O207" s="1"/>
      <c r="P207" s="1"/>
      <c r="Q207" s="1"/>
      <c r="R207" s="1"/>
    </row>
    <row r="208" spans="2:18" x14ac:dyDescent="0.25">
      <c r="B208" s="1"/>
      <c r="C208" s="1"/>
      <c r="D208" s="1"/>
      <c r="E208" s="1"/>
      <c r="F208" s="1"/>
      <c r="G208" s="1"/>
      <c r="H208" s="1"/>
      <c r="I208" s="1"/>
      <c r="J208" s="1"/>
      <c r="K208" s="1"/>
      <c r="L208" s="1"/>
      <c r="M208" s="1"/>
      <c r="N208" s="1"/>
      <c r="O208" s="1"/>
      <c r="P208" s="1"/>
      <c r="Q208" s="1"/>
      <c r="R208" s="1"/>
    </row>
    <row r="209" spans="2:18" x14ac:dyDescent="0.25">
      <c r="B209" s="1"/>
      <c r="C209" s="1"/>
      <c r="D209" s="1"/>
      <c r="E209" s="1"/>
      <c r="F209" s="1"/>
      <c r="G209" s="1"/>
      <c r="H209" s="1"/>
      <c r="I209" s="1"/>
      <c r="J209" s="1"/>
      <c r="K209" s="1"/>
      <c r="L209" s="1"/>
      <c r="M209" s="1"/>
      <c r="N209" s="1"/>
      <c r="O209" s="1"/>
      <c r="P209" s="1"/>
      <c r="Q209" s="1"/>
      <c r="R209" s="1"/>
    </row>
    <row r="210" spans="2:18" x14ac:dyDescent="0.25">
      <c r="B210" s="1"/>
      <c r="C210" s="1"/>
      <c r="D210" s="1"/>
      <c r="E210" s="1"/>
      <c r="F210" s="1"/>
      <c r="G210" s="1"/>
      <c r="H210" s="1"/>
      <c r="I210" s="1"/>
      <c r="J210" s="1"/>
      <c r="K210" s="1"/>
      <c r="L210" s="1"/>
      <c r="M210" s="1"/>
      <c r="N210" s="1"/>
      <c r="O210" s="1"/>
      <c r="P210" s="1"/>
      <c r="Q210" s="1"/>
      <c r="R210" s="1"/>
    </row>
    <row r="211" spans="2:18" x14ac:dyDescent="0.25">
      <c r="B211" s="1"/>
      <c r="C211" s="1"/>
      <c r="D211" s="1"/>
      <c r="E211" s="1"/>
      <c r="F211" s="1"/>
      <c r="G211" s="1"/>
      <c r="H211" s="1"/>
      <c r="I211" s="1"/>
      <c r="J211" s="1"/>
      <c r="K211" s="1"/>
      <c r="L211" s="1"/>
      <c r="M211" s="1"/>
      <c r="N211" s="1"/>
      <c r="O211" s="1"/>
      <c r="P211" s="1"/>
      <c r="Q211" s="1"/>
      <c r="R211" s="1"/>
    </row>
    <row r="212" spans="2:18" x14ac:dyDescent="0.25">
      <c r="B212" s="1"/>
      <c r="C212" s="1"/>
      <c r="D212" s="1"/>
      <c r="E212" s="1"/>
      <c r="F212" s="1"/>
      <c r="G212" s="1"/>
      <c r="H212" s="1"/>
      <c r="I212" s="1"/>
      <c r="J212" s="1"/>
      <c r="K212" s="1"/>
      <c r="L212" s="1"/>
      <c r="M212" s="1"/>
      <c r="N212" s="1"/>
      <c r="O212" s="1"/>
      <c r="P212" s="1"/>
      <c r="Q212" s="1"/>
      <c r="R212" s="1"/>
    </row>
    <row r="213" spans="2:18" x14ac:dyDescent="0.25">
      <c r="B213" s="1"/>
      <c r="C213" s="1"/>
      <c r="D213" s="1"/>
      <c r="E213" s="1"/>
      <c r="F213" s="1"/>
      <c r="G213" s="1"/>
      <c r="H213" s="1"/>
      <c r="I213" s="1"/>
      <c r="J213" s="1"/>
      <c r="K213" s="1"/>
      <c r="L213" s="1"/>
      <c r="M213" s="1"/>
      <c r="N213" s="1"/>
      <c r="O213" s="1"/>
      <c r="P213" s="1"/>
      <c r="Q213" s="1"/>
      <c r="R213" s="1"/>
    </row>
    <row r="214" spans="2:18" x14ac:dyDescent="0.25">
      <c r="B214" s="1"/>
      <c r="C214" s="1"/>
      <c r="D214" s="1"/>
      <c r="E214" s="1"/>
      <c r="F214" s="1"/>
      <c r="G214" s="1"/>
      <c r="H214" s="1"/>
      <c r="I214" s="1"/>
      <c r="J214" s="1"/>
      <c r="K214" s="1"/>
      <c r="L214" s="1"/>
      <c r="M214" s="1"/>
      <c r="N214" s="1"/>
      <c r="O214" s="1"/>
      <c r="P214" s="1"/>
      <c r="Q214" s="1"/>
      <c r="R214" s="1"/>
    </row>
    <row r="215" spans="2:18" x14ac:dyDescent="0.25">
      <c r="B215" s="1"/>
      <c r="C215" s="1"/>
      <c r="D215" s="1"/>
      <c r="E215" s="1"/>
      <c r="F215" s="1"/>
      <c r="G215" s="1"/>
      <c r="H215" s="1"/>
      <c r="I215" s="1"/>
      <c r="J215" s="1"/>
      <c r="K215" s="1"/>
      <c r="L215" s="1"/>
      <c r="M215" s="1"/>
      <c r="N215" s="1"/>
      <c r="O215" s="1"/>
      <c r="P215" s="1"/>
      <c r="Q215" s="1"/>
      <c r="R215" s="1"/>
    </row>
    <row r="216" spans="2:18" x14ac:dyDescent="0.25">
      <c r="B216" s="1"/>
      <c r="C216" s="1"/>
      <c r="D216" s="1"/>
      <c r="E216" s="1"/>
      <c r="F216" s="1"/>
      <c r="G216" s="1"/>
      <c r="H216" s="1"/>
      <c r="I216" s="1"/>
      <c r="J216" s="1"/>
      <c r="K216" s="1"/>
      <c r="L216" s="1"/>
      <c r="M216" s="1"/>
      <c r="N216" s="1"/>
      <c r="O216" s="1"/>
      <c r="P216" s="1"/>
      <c r="Q216" s="1"/>
      <c r="R216" s="1"/>
    </row>
    <row r="217" spans="2:18" x14ac:dyDescent="0.25">
      <c r="B217" s="1"/>
      <c r="C217" s="1"/>
      <c r="D217" s="1"/>
      <c r="E217" s="1"/>
      <c r="F217" s="1"/>
      <c r="G217" s="1"/>
      <c r="H217" s="1"/>
      <c r="I217" s="1"/>
      <c r="J217" s="1"/>
      <c r="K217" s="1"/>
      <c r="L217" s="1"/>
      <c r="M217" s="1"/>
      <c r="N217" s="1"/>
      <c r="O217" s="1"/>
      <c r="P217" s="1"/>
      <c r="Q217" s="1"/>
      <c r="R217" s="1"/>
    </row>
    <row r="218" spans="2:18" x14ac:dyDescent="0.25">
      <c r="B218" s="1"/>
      <c r="C218" s="1"/>
      <c r="D218" s="1"/>
      <c r="E218" s="1"/>
      <c r="F218" s="1"/>
      <c r="G218" s="1"/>
      <c r="H218" s="1"/>
      <c r="I218" s="1"/>
      <c r="J218" s="1"/>
      <c r="K218" s="1"/>
      <c r="L218" s="1"/>
      <c r="M218" s="1"/>
      <c r="N218" s="1"/>
      <c r="O218" s="1"/>
      <c r="P218" s="1"/>
      <c r="Q218" s="1"/>
      <c r="R218" s="1"/>
    </row>
    <row r="219" spans="2:18" x14ac:dyDescent="0.25">
      <c r="B219" s="1"/>
      <c r="C219" s="1"/>
      <c r="D219" s="1"/>
      <c r="E219" s="1"/>
      <c r="F219" s="1"/>
      <c r="G219" s="1"/>
      <c r="H219" s="1"/>
      <c r="I219" s="1"/>
      <c r="J219" s="1"/>
      <c r="K219" s="1"/>
      <c r="L219" s="1"/>
      <c r="M219" s="1"/>
      <c r="N219" s="1"/>
      <c r="O219" s="1"/>
      <c r="P219" s="1"/>
      <c r="Q219" s="1"/>
      <c r="R219" s="1"/>
    </row>
    <row r="220" spans="2:18" x14ac:dyDescent="0.25">
      <c r="B220" s="1"/>
      <c r="C220" s="1"/>
      <c r="D220" s="1"/>
      <c r="E220" s="1"/>
      <c r="F220" s="1"/>
      <c r="G220" s="1"/>
      <c r="H220" s="1"/>
      <c r="I220" s="1"/>
      <c r="J220" s="1"/>
      <c r="K220" s="1"/>
      <c r="L220" s="1"/>
      <c r="M220" s="1"/>
      <c r="N220" s="1"/>
      <c r="O220" s="1"/>
      <c r="P220" s="1"/>
      <c r="Q220" s="1"/>
      <c r="R220" s="1"/>
    </row>
    <row r="221" spans="2:18" x14ac:dyDescent="0.25">
      <c r="B221" s="1"/>
      <c r="C221" s="1"/>
      <c r="D221" s="1"/>
      <c r="E221" s="1"/>
      <c r="F221" s="1"/>
      <c r="G221" s="1"/>
      <c r="H221" s="1"/>
      <c r="I221" s="1"/>
      <c r="J221" s="1"/>
      <c r="K221" s="1"/>
      <c r="L221" s="1"/>
      <c r="M221" s="1"/>
      <c r="N221" s="1"/>
      <c r="O221" s="1"/>
      <c r="P221" s="1"/>
      <c r="Q221" s="1"/>
      <c r="R221" s="1"/>
    </row>
    <row r="222" spans="2:18" x14ac:dyDescent="0.25">
      <c r="B222" s="1"/>
      <c r="C222" s="1"/>
      <c r="D222" s="1"/>
      <c r="E222" s="1"/>
      <c r="F222" s="1"/>
      <c r="G222" s="1"/>
      <c r="H222" s="1"/>
      <c r="I222" s="1"/>
      <c r="J222" s="1"/>
      <c r="K222" s="1"/>
      <c r="L222" s="1"/>
      <c r="M222" s="1"/>
      <c r="N222" s="1"/>
      <c r="O222" s="1"/>
      <c r="P222" s="1"/>
      <c r="Q222" s="1"/>
      <c r="R222" s="1"/>
    </row>
    <row r="223" spans="2:18" x14ac:dyDescent="0.25">
      <c r="B223" s="1"/>
      <c r="C223" s="1"/>
      <c r="D223" s="1"/>
      <c r="E223" s="1"/>
      <c r="F223" s="1"/>
      <c r="G223" s="1"/>
      <c r="H223" s="1"/>
      <c r="I223" s="1"/>
      <c r="J223" s="1"/>
      <c r="K223" s="1"/>
      <c r="L223" s="1"/>
      <c r="M223" s="1"/>
      <c r="N223" s="1"/>
      <c r="O223" s="1"/>
      <c r="P223" s="1"/>
      <c r="Q223" s="1"/>
      <c r="R223" s="1"/>
    </row>
    <row r="224" spans="2:18" x14ac:dyDescent="0.25">
      <c r="B224" s="1"/>
      <c r="C224" s="1"/>
      <c r="D224" s="1"/>
      <c r="E224" s="1"/>
      <c r="F224" s="1"/>
      <c r="G224" s="1"/>
      <c r="H224" s="1"/>
      <c r="I224" s="1"/>
      <c r="J224" s="1"/>
      <c r="K224" s="1"/>
      <c r="L224" s="1"/>
      <c r="M224" s="1"/>
      <c r="N224" s="1"/>
      <c r="O224" s="1"/>
      <c r="P224" s="1"/>
      <c r="Q224" s="1"/>
      <c r="R224" s="1"/>
    </row>
    <row r="225" spans="2:18" x14ac:dyDescent="0.25">
      <c r="B225" s="1"/>
      <c r="C225" s="1"/>
      <c r="D225" s="1"/>
      <c r="E225" s="1"/>
      <c r="F225" s="1"/>
      <c r="G225" s="1"/>
      <c r="H225" s="1"/>
      <c r="I225" s="1"/>
      <c r="J225" s="1"/>
      <c r="K225" s="1"/>
      <c r="L225" s="1"/>
      <c r="M225" s="1"/>
      <c r="N225" s="1"/>
      <c r="O225" s="1"/>
      <c r="P225" s="1"/>
      <c r="Q225" s="1"/>
      <c r="R225" s="1"/>
    </row>
    <row r="226" spans="2:18" x14ac:dyDescent="0.25">
      <c r="B226" s="1"/>
      <c r="C226" s="1"/>
      <c r="D226" s="1"/>
      <c r="E226" s="1"/>
      <c r="F226" s="1"/>
      <c r="G226" s="1"/>
      <c r="H226" s="1"/>
      <c r="I226" s="1"/>
      <c r="J226" s="1"/>
      <c r="K226" s="1"/>
      <c r="L226" s="1"/>
      <c r="M226" s="1"/>
      <c r="N226" s="1"/>
      <c r="O226" s="1"/>
      <c r="P226" s="1"/>
      <c r="Q226" s="1"/>
      <c r="R226" s="1"/>
    </row>
    <row r="227" spans="2:18" x14ac:dyDescent="0.25">
      <c r="B227" s="1"/>
      <c r="C227" s="1"/>
      <c r="D227" s="1"/>
      <c r="E227" s="1"/>
      <c r="F227" s="1"/>
      <c r="G227" s="1"/>
      <c r="H227" s="1"/>
      <c r="I227" s="1"/>
      <c r="J227" s="1"/>
      <c r="K227" s="1"/>
      <c r="L227" s="1"/>
      <c r="M227" s="1"/>
      <c r="N227" s="1"/>
      <c r="O227" s="1"/>
      <c r="P227" s="1"/>
      <c r="Q227" s="1"/>
      <c r="R227" s="1"/>
    </row>
    <row r="228" spans="2:18" x14ac:dyDescent="0.25">
      <c r="B228" s="1"/>
      <c r="C228" s="1"/>
      <c r="D228" s="1"/>
      <c r="E228" s="1"/>
      <c r="F228" s="1"/>
      <c r="G228" s="1"/>
      <c r="H228" s="1"/>
      <c r="I228" s="1"/>
      <c r="J228" s="1"/>
      <c r="K228" s="1"/>
      <c r="L228" s="1"/>
      <c r="M228" s="1"/>
      <c r="N228" s="1"/>
      <c r="O228" s="1"/>
      <c r="P228" s="1"/>
      <c r="Q228" s="1"/>
      <c r="R228" s="1"/>
    </row>
    <row r="229" spans="2:18" x14ac:dyDescent="0.25">
      <c r="B229" s="1"/>
      <c r="C229" s="1"/>
      <c r="D229" s="1"/>
      <c r="E229" s="1"/>
      <c r="F229" s="1"/>
      <c r="G229" s="1"/>
      <c r="H229" s="1"/>
      <c r="I229" s="1"/>
      <c r="J229" s="1"/>
      <c r="K229" s="1"/>
      <c r="L229" s="1"/>
      <c r="M229" s="1"/>
      <c r="N229" s="1"/>
      <c r="O229" s="1"/>
      <c r="P229" s="1"/>
      <c r="Q229" s="1"/>
      <c r="R229" s="1"/>
    </row>
    <row r="230" spans="2:18" x14ac:dyDescent="0.25">
      <c r="B230" s="1"/>
      <c r="C230" s="1"/>
      <c r="D230" s="1"/>
      <c r="E230" s="1"/>
      <c r="F230" s="1"/>
      <c r="G230" s="1"/>
      <c r="H230" s="1"/>
      <c r="I230" s="1"/>
      <c r="J230" s="1"/>
      <c r="K230" s="1"/>
      <c r="L230" s="1"/>
      <c r="M230" s="1"/>
      <c r="N230" s="1"/>
      <c r="O230" s="1"/>
      <c r="P230" s="1"/>
      <c r="Q230" s="1"/>
      <c r="R230" s="1"/>
    </row>
    <row r="231" spans="2:18" x14ac:dyDescent="0.25">
      <c r="B231" s="1"/>
      <c r="C231" s="1"/>
      <c r="D231" s="1"/>
      <c r="E231" s="1"/>
      <c r="F231" s="1"/>
      <c r="G231" s="1"/>
      <c r="H231" s="1"/>
      <c r="I231" s="1"/>
      <c r="J231" s="1"/>
      <c r="K231" s="1"/>
      <c r="L231" s="1"/>
      <c r="M231" s="1"/>
      <c r="N231" s="1"/>
      <c r="O231" s="1"/>
      <c r="P231" s="1"/>
      <c r="Q231" s="1"/>
      <c r="R231" s="1"/>
    </row>
  </sheetData>
  <mergeCells count="6">
    <mergeCell ref="B121:Q121"/>
    <mergeCell ref="B1:Q1"/>
    <mergeCell ref="C5:N5"/>
    <mergeCell ref="O5:O6"/>
    <mergeCell ref="P5:P6"/>
    <mergeCell ref="Q5:Q6"/>
  </mergeCells>
  <pageMargins left="0.7" right="0.7" top="0.75" bottom="0.75" header="0.3" footer="0.3"/>
  <pageSetup paperSize="5" scale="40" orientation="landscape" r:id="rId1"/>
  <headerFooter>
    <oddFooter>&amp;L&amp;F&amp;C&amp;K000000Public&amp;RA-&amp;P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D29E-50E5-4B2B-B63A-6E500CB61CB0}">
  <dimension ref="B1:J231"/>
  <sheetViews>
    <sheetView showGridLines="0" view="pageBreakPreview" zoomScale="70" zoomScaleNormal="70" zoomScaleSheetLayoutView="70" zoomScalePageLayoutView="60" workbookViewId="0">
      <selection activeCell="B1" sqref="B1:I1"/>
    </sheetView>
  </sheetViews>
  <sheetFormatPr defaultRowHeight="15" x14ac:dyDescent="0.25"/>
  <cols>
    <col min="1" max="1" width="1.85546875" customWidth="1"/>
    <col min="2" max="2" width="94.5703125" customWidth="1"/>
    <col min="3" max="6" width="14.7109375" customWidth="1"/>
    <col min="7" max="7" width="15.42578125" customWidth="1"/>
    <col min="8" max="9" width="15.7109375" hidden="1" customWidth="1"/>
    <col min="10" max="10" width="9.140625" hidden="1" customWidth="1"/>
  </cols>
  <sheetData>
    <row r="1" spans="2:10" ht="62.25" customHeight="1" x14ac:dyDescent="0.25">
      <c r="B1" s="253" t="s">
        <v>129</v>
      </c>
      <c r="C1" s="253"/>
      <c r="D1" s="253"/>
      <c r="E1" s="253"/>
      <c r="F1" s="253"/>
      <c r="G1" s="253"/>
      <c r="H1" s="253"/>
      <c r="I1" s="253"/>
    </row>
    <row r="2" spans="2:10" ht="12.75" customHeight="1" x14ac:dyDescent="0.25">
      <c r="B2" s="2" t="s">
        <v>51</v>
      </c>
      <c r="C2" s="1"/>
      <c r="D2" s="1"/>
      <c r="E2" s="1"/>
      <c r="F2" s="1"/>
      <c r="G2" s="1"/>
      <c r="H2" s="1"/>
      <c r="I2" s="1"/>
      <c r="J2" s="1"/>
    </row>
    <row r="3" spans="2:10" ht="12.75" customHeight="1" x14ac:dyDescent="0.25">
      <c r="B3" s="2" t="s">
        <v>130</v>
      </c>
      <c r="C3" s="1"/>
      <c r="D3" s="1"/>
      <c r="E3" s="1"/>
      <c r="F3" s="1"/>
      <c r="G3" s="1"/>
      <c r="H3" s="1"/>
      <c r="I3" s="1"/>
      <c r="J3" s="1"/>
    </row>
    <row r="4" spans="2:10" ht="12.75" customHeight="1" x14ac:dyDescent="0.25">
      <c r="B4" s="1"/>
      <c r="C4" s="1"/>
      <c r="D4" s="1"/>
      <c r="E4" s="1"/>
      <c r="F4" s="1"/>
      <c r="G4" s="1"/>
      <c r="H4" s="1"/>
      <c r="I4" s="1"/>
      <c r="J4" s="1"/>
    </row>
    <row r="5" spans="2:10" ht="18" customHeight="1" x14ac:dyDescent="0.25">
      <c r="B5" s="1"/>
      <c r="C5" s="231" t="s">
        <v>164</v>
      </c>
      <c r="D5" s="232"/>
      <c r="E5" s="232"/>
      <c r="F5" s="232"/>
      <c r="G5" s="254" t="s">
        <v>87</v>
      </c>
      <c r="H5" s="256" t="s">
        <v>131</v>
      </c>
      <c r="I5" s="240" t="s">
        <v>89</v>
      </c>
      <c r="J5" s="1"/>
    </row>
    <row r="6" spans="2:10" ht="38.25" customHeight="1" x14ac:dyDescent="0.25">
      <c r="B6" s="1"/>
      <c r="C6" s="269" t="s">
        <v>165</v>
      </c>
      <c r="D6" s="177" t="s">
        <v>166</v>
      </c>
      <c r="E6" s="177" t="s">
        <v>167</v>
      </c>
      <c r="F6" s="177" t="s">
        <v>168</v>
      </c>
      <c r="G6" s="255"/>
      <c r="H6" s="257"/>
      <c r="I6" s="258"/>
      <c r="J6" s="1"/>
    </row>
    <row r="7" spans="2:10" x14ac:dyDescent="0.25">
      <c r="B7" s="31" t="s">
        <v>169</v>
      </c>
      <c r="C7" s="30"/>
      <c r="D7" s="30"/>
      <c r="E7" s="30"/>
      <c r="F7" s="30"/>
      <c r="G7" s="30"/>
      <c r="H7" s="30"/>
      <c r="I7" s="30"/>
      <c r="J7" s="1"/>
    </row>
    <row r="8" spans="2:10" ht="12.75" customHeight="1" x14ac:dyDescent="0.25">
      <c r="B8" s="1" t="s">
        <v>132</v>
      </c>
      <c r="C8" s="77">
        <f>SUM('Marketing Monthly'!C8:E8)</f>
        <v>13034.92</v>
      </c>
      <c r="D8" s="77">
        <f>SUM('Marketing Monthly'!F8:H8)</f>
        <v>279033.90000000002</v>
      </c>
      <c r="E8" s="77"/>
      <c r="F8" s="77"/>
      <c r="G8" s="86">
        <f>SUM(C8:F8)</f>
        <v>292068.82</v>
      </c>
      <c r="H8" s="86"/>
      <c r="I8" s="87">
        <f>IFERROR(G8/H8,0)</f>
        <v>0</v>
      </c>
      <c r="J8" s="1">
        <v>1</v>
      </c>
    </row>
    <row r="9" spans="2:10" ht="12.75" customHeight="1" x14ac:dyDescent="0.25">
      <c r="B9" s="1" t="s">
        <v>133</v>
      </c>
      <c r="C9" s="77">
        <f>SUM('Marketing Monthly'!C9:E9)</f>
        <v>688027.12</v>
      </c>
      <c r="D9" s="77">
        <f>SUM('Marketing Monthly'!F9:H9)</f>
        <v>1242743.98</v>
      </c>
      <c r="E9" s="77"/>
      <c r="F9" s="77"/>
      <c r="G9" s="86">
        <f>SUM(C9:F9)</f>
        <v>1930771.1</v>
      </c>
      <c r="H9" s="86"/>
      <c r="I9" s="87">
        <f>IFERROR(G9/H9,0)</f>
        <v>0</v>
      </c>
      <c r="J9" s="1">
        <v>2</v>
      </c>
    </row>
    <row r="10" spans="2:10" x14ac:dyDescent="0.25">
      <c r="B10" s="88" t="s">
        <v>134</v>
      </c>
      <c r="C10" s="89">
        <f>SUM(C8:C9)</f>
        <v>701062.04</v>
      </c>
      <c r="D10" s="89">
        <f t="shared" ref="D10:F10" si="0">SUM(D8:D9)</f>
        <v>1521777.88</v>
      </c>
      <c r="E10" s="89">
        <f t="shared" si="0"/>
        <v>0</v>
      </c>
      <c r="F10" s="89">
        <f t="shared" si="0"/>
        <v>0</v>
      </c>
      <c r="G10" s="89">
        <f>SUM(G8:G9)</f>
        <v>2222839.92</v>
      </c>
      <c r="H10" s="89">
        <f>SUM(H8:H9)</f>
        <v>0</v>
      </c>
      <c r="I10" s="90">
        <f>IFERROR(G10/H10,0)</f>
        <v>0</v>
      </c>
      <c r="J10" s="1"/>
    </row>
    <row r="11" spans="2:10" x14ac:dyDescent="0.25">
      <c r="B11" s="1"/>
      <c r="C11" s="91" t="b">
        <v>0</v>
      </c>
      <c r="D11" s="91" t="b">
        <v>0</v>
      </c>
      <c r="E11" s="91" t="b">
        <v>0</v>
      </c>
      <c r="F11" s="91" t="b">
        <v>0</v>
      </c>
      <c r="G11" s="1"/>
      <c r="H11" s="1"/>
      <c r="I11" s="1"/>
      <c r="J11" s="1"/>
    </row>
    <row r="12" spans="2:10" ht="18" customHeight="1" x14ac:dyDescent="0.25">
      <c r="B12" s="2" t="s">
        <v>135</v>
      </c>
      <c r="C12" s="1"/>
      <c r="D12" s="1"/>
      <c r="E12" s="1"/>
      <c r="F12" s="1"/>
      <c r="G12" s="1"/>
      <c r="H12" s="1"/>
      <c r="I12" s="1"/>
      <c r="J12" s="1"/>
    </row>
    <row r="13" spans="2:10" ht="13.5" customHeight="1" x14ac:dyDescent="0.25">
      <c r="B13" s="92" t="s">
        <v>136</v>
      </c>
      <c r="C13" s="35"/>
      <c r="D13" s="35"/>
      <c r="E13" s="35"/>
      <c r="F13" s="35"/>
      <c r="G13" s="35"/>
      <c r="H13" s="35"/>
      <c r="I13" s="35"/>
      <c r="J13" s="1"/>
    </row>
    <row r="14" spans="2:10" x14ac:dyDescent="0.25">
      <c r="B14" s="1"/>
      <c r="C14" s="1"/>
      <c r="D14" s="1"/>
      <c r="E14" s="1"/>
      <c r="F14" s="1"/>
      <c r="G14" s="1"/>
      <c r="H14" s="1"/>
      <c r="I14" s="1"/>
      <c r="J14" s="1"/>
    </row>
    <row r="15" spans="2:10" x14ac:dyDescent="0.25">
      <c r="B15" s="93" t="s">
        <v>137</v>
      </c>
      <c r="C15" s="94"/>
      <c r="D15" s="94"/>
      <c r="E15" s="94"/>
      <c r="F15" s="94"/>
      <c r="G15" s="94"/>
      <c r="H15" s="94"/>
      <c r="I15" s="94"/>
      <c r="J15" s="1"/>
    </row>
    <row r="16" spans="2:10" hidden="1" x14ac:dyDescent="0.25">
      <c r="B16" s="55" t="s">
        <v>91</v>
      </c>
      <c r="C16" s="1"/>
      <c r="D16" s="1"/>
      <c r="E16" s="1"/>
      <c r="F16" s="1"/>
      <c r="G16" s="61"/>
      <c r="H16" s="61"/>
      <c r="I16" s="61"/>
      <c r="J16" s="1"/>
    </row>
    <row r="17" spans="2:10" ht="12.75" hidden="1" customHeight="1" x14ac:dyDescent="0.25">
      <c r="B17" s="1" t="str">
        <f>API</f>
        <v>Agricultural &amp; Pumping Interruptible (API)</v>
      </c>
      <c r="C17" s="77">
        <f>SUM('Marketing Monthly'!C17:E17)</f>
        <v>0</v>
      </c>
      <c r="D17" s="77">
        <f>SUM('Marketing Monthly'!D17:F17)</f>
        <v>0</v>
      </c>
      <c r="E17" s="77"/>
      <c r="F17" s="77"/>
      <c r="G17" s="86">
        <f>SUM(C17:F17)</f>
        <v>0</v>
      </c>
      <c r="H17" s="61"/>
      <c r="I17" s="87">
        <f t="shared" ref="I17:I21" si="1">IFERROR(G17/H17,0)</f>
        <v>0</v>
      </c>
      <c r="J17" s="1"/>
    </row>
    <row r="18" spans="2:10" ht="12.75" hidden="1" customHeight="1" x14ac:dyDescent="0.25">
      <c r="B18" s="1" t="str">
        <f>BIPG</f>
        <v>Base Interruptible Program (BIP)</v>
      </c>
      <c r="C18" s="77">
        <f>SUM('Marketing Monthly'!C18:E18)</f>
        <v>0</v>
      </c>
      <c r="D18" s="77">
        <f>SUM('Marketing Monthly'!D18:F18)</f>
        <v>0</v>
      </c>
      <c r="E18" s="77"/>
      <c r="F18" s="77"/>
      <c r="G18" s="86">
        <f>SUM(C18:F18)</f>
        <v>0</v>
      </c>
      <c r="H18" s="61"/>
      <c r="I18" s="87">
        <f t="shared" si="1"/>
        <v>0</v>
      </c>
      <c r="J18" s="1"/>
    </row>
    <row r="19" spans="2:10" ht="12.75" hidden="1" customHeight="1" x14ac:dyDescent="0.25">
      <c r="B19" s="1" t="str">
        <f>CBPG</f>
        <v>Capacity Bidding Program (CBP)</v>
      </c>
      <c r="C19" s="77">
        <f>SUM('Marketing Monthly'!C19:E19)</f>
        <v>0</v>
      </c>
      <c r="D19" s="77">
        <f>SUM('Marketing Monthly'!D19:F19)</f>
        <v>0</v>
      </c>
      <c r="E19" s="77"/>
      <c r="F19" s="77"/>
      <c r="G19" s="86">
        <f>SUM(C19:F19)</f>
        <v>0</v>
      </c>
      <c r="H19" s="61"/>
      <c r="I19" s="87">
        <f t="shared" si="1"/>
        <v>0</v>
      </c>
      <c r="J19" s="1"/>
    </row>
    <row r="20" spans="2:10" ht="12.75" hidden="1" customHeight="1" x14ac:dyDescent="0.25">
      <c r="B20" s="1" t="str">
        <f>SEP</f>
        <v>Smart Energy Program (SEP)</v>
      </c>
      <c r="C20" s="77">
        <f>SUM('Marketing Monthly'!C20:E20)</f>
        <v>0</v>
      </c>
      <c r="D20" s="77">
        <f>SUM('Marketing Monthly'!D20:F20)</f>
        <v>0</v>
      </c>
      <c r="E20" s="77"/>
      <c r="F20" s="77"/>
      <c r="G20" s="86">
        <f>SUM(C20:F20)</f>
        <v>0</v>
      </c>
      <c r="H20" s="61"/>
      <c r="I20" s="87">
        <f t="shared" si="1"/>
        <v>0</v>
      </c>
      <c r="J20" s="1"/>
    </row>
    <row r="21" spans="2:10" ht="12.75" hidden="1" customHeight="1" x14ac:dyDescent="0.25">
      <c r="B21" s="1" t="str">
        <f>SDPG</f>
        <v>Summer Discount Plan Program (SDP)</v>
      </c>
      <c r="C21" s="77">
        <f>SUM('Marketing Monthly'!C21:E21)</f>
        <v>0</v>
      </c>
      <c r="D21" s="77">
        <f>SUM('Marketing Monthly'!D21:F21)</f>
        <v>0</v>
      </c>
      <c r="E21" s="77"/>
      <c r="F21" s="77"/>
      <c r="G21" s="86">
        <f>SUM(C21:F21)</f>
        <v>0</v>
      </c>
      <c r="H21" s="61"/>
      <c r="I21" s="87">
        <f t="shared" si="1"/>
        <v>0</v>
      </c>
      <c r="J21" s="1"/>
    </row>
    <row r="22" spans="2:10" hidden="1" x14ac:dyDescent="0.25">
      <c r="B22" s="1" t="s">
        <v>139</v>
      </c>
      <c r="C22" s="1"/>
      <c r="D22" s="1"/>
      <c r="E22" s="1"/>
      <c r="F22" s="1"/>
      <c r="G22" s="61"/>
      <c r="H22" s="61"/>
      <c r="I22" s="95"/>
      <c r="J22" s="1"/>
    </row>
    <row r="23" spans="2:10" hidden="1" x14ac:dyDescent="0.25">
      <c r="B23" s="55" t="s">
        <v>93</v>
      </c>
      <c r="C23" s="1"/>
      <c r="D23" s="1"/>
      <c r="E23" s="1"/>
      <c r="F23" s="1"/>
      <c r="G23" s="61"/>
      <c r="H23" s="61"/>
      <c r="I23" s="95"/>
      <c r="J23" s="1"/>
    </row>
    <row r="24" spans="2:10" ht="12.75" hidden="1" customHeight="1" x14ac:dyDescent="0.25">
      <c r="B24" s="1" t="str">
        <f>OBMC</f>
        <v>Optional Binding Mandatory Curtailment (OBMC)</v>
      </c>
      <c r="C24" s="77">
        <f>SUM('Marketing Monthly'!C24:E24)</f>
        <v>0</v>
      </c>
      <c r="D24" s="77">
        <f>SUM('Marketing Monthly'!D24:F24)</f>
        <v>0</v>
      </c>
      <c r="E24" s="77"/>
      <c r="F24" s="77"/>
      <c r="G24" s="86">
        <f>SUM(C24:F24)</f>
        <v>0</v>
      </c>
      <c r="H24" s="61"/>
      <c r="I24" s="87">
        <f t="shared" ref="I24:I26" si="2">IFERROR(G24/H24,0)</f>
        <v>0</v>
      </c>
      <c r="J24" s="1"/>
    </row>
    <row r="25" spans="2:10" ht="12.75" hidden="1" customHeight="1" x14ac:dyDescent="0.25">
      <c r="B25" s="1" t="str">
        <f>ROTO</f>
        <v>Rotating Outages (RO)</v>
      </c>
      <c r="C25" s="77">
        <f>SUM('Marketing Monthly'!C25:E25)</f>
        <v>0</v>
      </c>
      <c r="D25" s="77">
        <f>SUM('Marketing Monthly'!D25:F25)</f>
        <v>0</v>
      </c>
      <c r="E25" s="77"/>
      <c r="F25" s="77"/>
      <c r="G25" s="86">
        <f>SUM(C25:F25)</f>
        <v>0</v>
      </c>
      <c r="H25" s="61"/>
      <c r="I25" s="87">
        <f t="shared" si="2"/>
        <v>0</v>
      </c>
      <c r="J25" s="1"/>
    </row>
    <row r="26" spans="2:10" ht="12.75" hidden="1" customHeight="1" x14ac:dyDescent="0.25">
      <c r="B26" s="1" t="str">
        <f>SLRP</f>
        <v>Scheduled Load Reduction Program (SLRP)</v>
      </c>
      <c r="C26" s="77">
        <f>SUM('Marketing Monthly'!C26:E26)</f>
        <v>0</v>
      </c>
      <c r="D26" s="77">
        <f>SUM('Marketing Monthly'!D26:F26)</f>
        <v>0</v>
      </c>
      <c r="E26" s="77"/>
      <c r="F26" s="77"/>
      <c r="G26" s="86">
        <f>SUM(C26:F26)</f>
        <v>0</v>
      </c>
      <c r="H26" s="61"/>
      <c r="I26" s="87">
        <f t="shared" si="2"/>
        <v>0</v>
      </c>
      <c r="J26" s="1"/>
    </row>
    <row r="27" spans="2:10" hidden="1" x14ac:dyDescent="0.25">
      <c r="B27" s="1"/>
      <c r="C27" s="1"/>
      <c r="D27" s="1"/>
      <c r="E27" s="1"/>
      <c r="F27" s="1"/>
      <c r="G27" s="61"/>
      <c r="H27" s="61"/>
      <c r="I27" s="95"/>
      <c r="J27" s="1"/>
    </row>
    <row r="28" spans="2:10" ht="28.5" hidden="1" customHeight="1" x14ac:dyDescent="0.25">
      <c r="B28" s="55" t="s">
        <v>95</v>
      </c>
      <c r="C28" s="1"/>
      <c r="D28" s="1"/>
      <c r="E28" s="1"/>
      <c r="F28" s="1"/>
      <c r="G28" s="61"/>
      <c r="H28" s="61"/>
      <c r="I28" s="95"/>
      <c r="J28" s="1"/>
    </row>
    <row r="29" spans="2:10" ht="12.75" hidden="1" customHeight="1" x14ac:dyDescent="0.25">
      <c r="B29" s="1" t="str">
        <f>DRAM</f>
        <v>Demand Response Auction Mechanism (DRAM)</v>
      </c>
      <c r="C29" s="77">
        <f>SUM('Marketing Monthly'!C29:E29)</f>
        <v>0</v>
      </c>
      <c r="D29" s="77">
        <f>SUM('Marketing Monthly'!D29:F29)</f>
        <v>0</v>
      </c>
      <c r="E29" s="77"/>
      <c r="F29" s="77"/>
      <c r="G29" s="86">
        <f>SUM(C29:F29)</f>
        <v>0</v>
      </c>
      <c r="H29" s="61"/>
      <c r="I29" s="87">
        <f>IFERROR(G29/H29,0)</f>
        <v>0</v>
      </c>
      <c r="J29" s="1"/>
    </row>
    <row r="30" spans="2:10" hidden="1" x14ac:dyDescent="0.25">
      <c r="B30" s="1"/>
      <c r="C30" s="1"/>
      <c r="D30" s="1"/>
      <c r="E30" s="1"/>
      <c r="F30" s="1"/>
      <c r="G30" s="61"/>
      <c r="H30" s="61"/>
      <c r="I30" s="95"/>
      <c r="J30" s="1"/>
    </row>
    <row r="31" spans="2:10" x14ac:dyDescent="0.25">
      <c r="B31" s="55" t="s">
        <v>97</v>
      </c>
      <c r="C31" s="1"/>
      <c r="D31" s="1"/>
      <c r="E31" s="1"/>
      <c r="F31" s="1"/>
      <c r="G31" s="61"/>
      <c r="H31" s="61"/>
      <c r="I31" s="95"/>
      <c r="J31" s="1"/>
    </row>
    <row r="32" spans="2:10" ht="12.75" customHeight="1" x14ac:dyDescent="0.25">
      <c r="B32" s="1" t="str">
        <f>EMT</f>
        <v>Emerging Markets and Technology</v>
      </c>
      <c r="C32" s="77">
        <f>SUM('Marketing Monthly'!C32:E32)</f>
        <v>-747.5</v>
      </c>
      <c r="D32" s="77">
        <f>SUM('Marketing Monthly'!F32:H32)</f>
        <v>0</v>
      </c>
      <c r="E32" s="77"/>
      <c r="F32" s="77"/>
      <c r="G32" s="86">
        <f>SUM(C32:F32)</f>
        <v>-747.5</v>
      </c>
      <c r="H32" s="61"/>
      <c r="I32" s="87">
        <f t="shared" ref="I32:I33" si="3">IFERROR(G32/H32,0)</f>
        <v>0</v>
      </c>
      <c r="J32" s="1"/>
    </row>
    <row r="33" spans="2:10" ht="12.75" hidden="1" customHeight="1" x14ac:dyDescent="0.25">
      <c r="B33" s="1" t="str">
        <f>TIP</f>
        <v>Technology Incentive Program (AutoDR-TI)</v>
      </c>
      <c r="C33" s="77">
        <f>SUM('Marketing Monthly'!C33:E33)</f>
        <v>0</v>
      </c>
      <c r="D33" s="77">
        <v>0</v>
      </c>
      <c r="E33" s="77"/>
      <c r="F33" s="77"/>
      <c r="G33" s="86">
        <f>SUM(C33:F33)</f>
        <v>0</v>
      </c>
      <c r="H33" s="61"/>
      <c r="I33" s="87">
        <f t="shared" si="3"/>
        <v>0</v>
      </c>
      <c r="J33" s="1"/>
    </row>
    <row r="34" spans="2:10" x14ac:dyDescent="0.25">
      <c r="B34" s="1"/>
      <c r="C34" s="1"/>
      <c r="D34" s="1"/>
      <c r="E34" s="1"/>
      <c r="F34" s="1"/>
      <c r="G34" s="61"/>
      <c r="H34" s="61"/>
      <c r="I34" s="95"/>
      <c r="J34" s="1"/>
    </row>
    <row r="35" spans="2:10" x14ac:dyDescent="0.25">
      <c r="B35" s="29" t="s">
        <v>99</v>
      </c>
      <c r="C35" s="1"/>
      <c r="D35" s="1"/>
      <c r="E35" s="1"/>
      <c r="F35" s="1"/>
      <c r="G35" s="61"/>
      <c r="H35" s="61"/>
      <c r="I35" s="95"/>
      <c r="J35" s="1"/>
    </row>
    <row r="36" spans="2:10" ht="12.75" customHeight="1" x14ac:dyDescent="0.25">
      <c r="B36" s="1" t="str">
        <f>ELRP</f>
        <v>Emergency Load Reduction Program (ELRP)</v>
      </c>
      <c r="C36" s="77">
        <f>SUM('Marketing Monthly'!C36:E36)</f>
        <v>252408.56</v>
      </c>
      <c r="D36" s="77">
        <f>SUM('Marketing Monthly'!F36:H36)</f>
        <v>880503.87</v>
      </c>
      <c r="E36" s="77"/>
      <c r="F36" s="77"/>
      <c r="G36" s="86">
        <f t="shared" ref="G36:G38" si="4">SUM(C36:F36)</f>
        <v>1132912.43</v>
      </c>
      <c r="H36" s="61"/>
      <c r="I36" s="87"/>
      <c r="J36" s="1"/>
    </row>
    <row r="37" spans="2:10" ht="12.75" customHeight="1" x14ac:dyDescent="0.25">
      <c r="B37" s="1" t="str">
        <f>IDSM_NR</f>
        <v>IDSM Non Residential</v>
      </c>
      <c r="C37" s="77">
        <f>SUM('Marketing Monthly'!C37:E37)</f>
        <v>8911.9499999999989</v>
      </c>
      <c r="D37" s="77">
        <f>SUM('Marketing Monthly'!F37:H37)</f>
        <v>-352.48</v>
      </c>
      <c r="E37" s="77"/>
      <c r="F37" s="77"/>
      <c r="G37" s="86">
        <f t="shared" si="4"/>
        <v>8559.4699999999993</v>
      </c>
      <c r="H37" s="61"/>
      <c r="I37" s="87"/>
      <c r="J37" s="1"/>
    </row>
    <row r="38" spans="2:10" ht="12.75" customHeight="1" x14ac:dyDescent="0.25">
      <c r="B38" s="1" t="str">
        <f>IDSM_R</f>
        <v>IDSM Residential</v>
      </c>
      <c r="C38" s="77">
        <f>SUM('Marketing Monthly'!C38:E38)</f>
        <v>3036.1099999999997</v>
      </c>
      <c r="D38" s="77">
        <f>SUM('Marketing Monthly'!F38:H38)</f>
        <v>-3352.6</v>
      </c>
      <c r="E38" s="77"/>
      <c r="F38" s="77"/>
      <c r="G38" s="86">
        <f t="shared" si="4"/>
        <v>-316.49000000000024</v>
      </c>
      <c r="H38" s="61"/>
      <c r="I38" s="87"/>
      <c r="J38" s="1"/>
    </row>
    <row r="39" spans="2:10" x14ac:dyDescent="0.25">
      <c r="B39" s="1"/>
      <c r="C39" s="1"/>
      <c r="D39" s="1"/>
      <c r="E39" s="1"/>
      <c r="F39" s="1"/>
      <c r="G39" s="61"/>
      <c r="H39" s="61"/>
      <c r="I39" s="95"/>
      <c r="J39" s="1"/>
    </row>
    <row r="40" spans="2:10" ht="15.75" x14ac:dyDescent="0.25">
      <c r="B40" s="55" t="s">
        <v>141</v>
      </c>
      <c r="C40" s="1"/>
      <c r="D40" s="1"/>
      <c r="E40" s="1"/>
      <c r="F40" s="1"/>
      <c r="G40" s="61"/>
      <c r="H40" s="61"/>
      <c r="I40" s="95"/>
      <c r="J40" s="1"/>
    </row>
    <row r="41" spans="2:10" ht="12.75" customHeight="1" x14ac:dyDescent="0.25">
      <c r="B41" s="1" t="str">
        <f>OLM</f>
        <v>Other Local Marketing</v>
      </c>
      <c r="C41" s="77">
        <f>SUM('Marketing Monthly'!C41:E41)</f>
        <v>0</v>
      </c>
      <c r="D41" s="77">
        <f>SUM('Marketing Monthly'!F41:H41)</f>
        <v>0</v>
      </c>
      <c r="E41" s="77"/>
      <c r="F41" s="77"/>
      <c r="G41" s="86">
        <f>SUM(C41:F41)</f>
        <v>0</v>
      </c>
      <c r="H41" s="61"/>
      <c r="I41" s="87">
        <f>IFERROR(G41/H41,0)</f>
        <v>0</v>
      </c>
      <c r="J41" s="1"/>
    </row>
    <row r="42" spans="2:10" x14ac:dyDescent="0.25">
      <c r="B42" s="1" t="str">
        <f>CPP</f>
        <v>Critical Peak Pricing (CPP)</v>
      </c>
      <c r="C42" s="77">
        <f>SUM('Marketing Monthly'!C42:E42)</f>
        <v>-200954.56</v>
      </c>
      <c r="D42" s="77">
        <f>SUM('Marketing Monthly'!F42:H42)</f>
        <v>177610.12</v>
      </c>
      <c r="E42" s="1"/>
      <c r="F42" s="1"/>
      <c r="G42" s="86">
        <f>SUM(C42:F42)</f>
        <v>-23344.440000000002</v>
      </c>
      <c r="H42" s="61"/>
      <c r="I42" s="95"/>
      <c r="J42" s="1"/>
    </row>
    <row r="43" spans="2:10" x14ac:dyDescent="0.25">
      <c r="B43" s="1"/>
      <c r="C43" s="1"/>
      <c r="D43" s="1"/>
      <c r="E43" s="1"/>
      <c r="F43" s="1"/>
      <c r="G43" s="61"/>
      <c r="H43" s="61"/>
      <c r="I43" s="95"/>
      <c r="J43" s="1"/>
    </row>
    <row r="44" spans="2:10" ht="26.25" hidden="1" customHeight="1" x14ac:dyDescent="0.25">
      <c r="B44" s="55" t="s">
        <v>104</v>
      </c>
      <c r="C44" s="1"/>
      <c r="D44" s="1"/>
      <c r="E44" s="1"/>
      <c r="F44" s="1"/>
      <c r="G44" s="61"/>
      <c r="H44" s="61"/>
      <c r="I44" s="95"/>
      <c r="J44" s="1"/>
    </row>
    <row r="45" spans="2:10" ht="12.75" hidden="1" customHeight="1" x14ac:dyDescent="0.25">
      <c r="B45" s="1" t="str">
        <f>DRPS</f>
        <v>DR Potential Study</v>
      </c>
      <c r="C45" s="77">
        <f>SUM('Marketing Monthly'!C45:E45)</f>
        <v>0</v>
      </c>
      <c r="D45" s="77">
        <v>0</v>
      </c>
      <c r="E45" s="77"/>
      <c r="F45" s="77"/>
      <c r="G45" s="86">
        <f>SUM(C45:F45)</f>
        <v>0</v>
      </c>
      <c r="H45" s="61"/>
      <c r="I45" s="87">
        <f t="shared" ref="I45:I47" si="5">IFERROR(G45/H45,0)</f>
        <v>0</v>
      </c>
      <c r="J45" s="1"/>
    </row>
    <row r="46" spans="2:10" ht="12.75" hidden="1" customHeight="1" x14ac:dyDescent="0.25">
      <c r="B46" s="1" t="str">
        <f>DRST</f>
        <v>DR Systems &amp; Technology Support</v>
      </c>
      <c r="C46" s="77">
        <f>SUM('Marketing Monthly'!C46:E46)</f>
        <v>0</v>
      </c>
      <c r="D46" s="77">
        <v>0</v>
      </c>
      <c r="E46" s="77"/>
      <c r="F46" s="77"/>
      <c r="G46" s="86">
        <f>SUM(C46:F46)</f>
        <v>0</v>
      </c>
      <c r="H46" s="61"/>
      <c r="I46" s="87">
        <f t="shared" si="5"/>
        <v>0</v>
      </c>
      <c r="J46" s="1"/>
    </row>
    <row r="47" spans="2:10" ht="12.75" hidden="1" customHeight="1" x14ac:dyDescent="0.25">
      <c r="B47" s="1" t="str">
        <f>EMV</f>
        <v>Evaluation, Measurement &amp; Verification (EM&amp;V)</v>
      </c>
      <c r="C47" s="77">
        <f>SUM('Marketing Monthly'!C47:E47)</f>
        <v>0</v>
      </c>
      <c r="D47" s="77">
        <v>0</v>
      </c>
      <c r="E47" s="77"/>
      <c r="F47" s="77"/>
      <c r="G47" s="86">
        <f>SUM(C47:F47)</f>
        <v>0</v>
      </c>
      <c r="H47" s="61"/>
      <c r="I47" s="87">
        <f t="shared" si="5"/>
        <v>0</v>
      </c>
      <c r="J47" s="1"/>
    </row>
    <row r="48" spans="2:10" hidden="1" x14ac:dyDescent="0.25">
      <c r="B48" s="1"/>
      <c r="C48" s="1"/>
      <c r="D48" s="1"/>
      <c r="E48" s="1"/>
      <c r="F48" s="1"/>
      <c r="G48" s="61"/>
      <c r="H48" s="61"/>
      <c r="I48" s="61"/>
      <c r="J48" s="1"/>
    </row>
    <row r="49" spans="2:10" x14ac:dyDescent="0.25">
      <c r="B49" s="96" t="s">
        <v>143</v>
      </c>
      <c r="C49" s="97">
        <f>SUM(C17:C21,C24:C26,C29,C32:C33,C36:C38,C41:C42,C45:C47)</f>
        <v>62654.559999999998</v>
      </c>
      <c r="D49" s="97">
        <f>SUM(D17:D21,D24:D26,D29,D32:D33,D36:D38,D41:D42,D45:D47)</f>
        <v>1054408.9100000001</v>
      </c>
      <c r="E49" s="97">
        <f t="shared" ref="E49:H49" si="6">SUM(E17:E21,E24:E26,E29,E32:E33,E36:E38,E41:E41,E45:E47)</f>
        <v>0</v>
      </c>
      <c r="F49" s="97">
        <f t="shared" si="6"/>
        <v>0</v>
      </c>
      <c r="G49" s="97">
        <f>SUM(G17:G21,G24:G26,G29,G32:G33,G36:G38,G41:G42,G45:G47)</f>
        <v>1117063.47</v>
      </c>
      <c r="H49" s="97">
        <f t="shared" si="6"/>
        <v>0</v>
      </c>
      <c r="I49" s="66"/>
      <c r="J49" s="1"/>
    </row>
    <row r="50" spans="2:10" x14ac:dyDescent="0.25">
      <c r="B50" s="1"/>
      <c r="C50" s="1"/>
      <c r="D50" s="1"/>
      <c r="E50" s="1"/>
      <c r="F50" s="1"/>
      <c r="G50" s="1"/>
      <c r="H50" s="1"/>
      <c r="I50" s="1"/>
      <c r="J50" s="1"/>
    </row>
    <row r="51" spans="2:10" x14ac:dyDescent="0.25">
      <c r="B51" s="2" t="s">
        <v>144</v>
      </c>
      <c r="C51" s="1"/>
      <c r="D51" s="1"/>
      <c r="E51" s="1"/>
      <c r="F51" s="1"/>
      <c r="G51" s="1"/>
      <c r="H51" s="1"/>
      <c r="I51" s="1"/>
      <c r="J51" s="1"/>
    </row>
    <row r="52" spans="2:10" x14ac:dyDescent="0.25">
      <c r="B52" s="1"/>
      <c r="C52" s="1"/>
      <c r="D52" s="1"/>
      <c r="E52" s="1"/>
      <c r="F52" s="1"/>
      <c r="G52" s="1"/>
      <c r="H52" s="1"/>
      <c r="I52" s="1"/>
      <c r="J52" s="1"/>
    </row>
    <row r="53" spans="2:10" x14ac:dyDescent="0.25">
      <c r="B53" s="98" t="str">
        <f>API</f>
        <v>Agricultural &amp; Pumping Interruptible (API)</v>
      </c>
      <c r="C53" s="35"/>
      <c r="D53" s="35"/>
      <c r="E53" s="35"/>
      <c r="F53" s="35"/>
      <c r="G53" s="35"/>
      <c r="H53" s="99"/>
      <c r="I53" s="35"/>
      <c r="J53" s="1"/>
    </row>
    <row r="54" spans="2:10" x14ac:dyDescent="0.25">
      <c r="B54" s="1" t="s">
        <v>145</v>
      </c>
      <c r="C54" s="77">
        <f>SUM('Marketing Monthly'!C54:E54)</f>
        <v>0</v>
      </c>
      <c r="D54" s="77">
        <f>SUM('Marketing Monthly'!F54:H54)</f>
        <v>0</v>
      </c>
      <c r="E54" s="77"/>
      <c r="F54" s="77"/>
      <c r="G54" s="100">
        <f>SUM(C54:F54)</f>
        <v>0</v>
      </c>
      <c r="H54" s="61"/>
      <c r="I54" s="61"/>
      <c r="J54" s="1"/>
    </row>
    <row r="55" spans="2:10" x14ac:dyDescent="0.25">
      <c r="B55" s="1" t="s">
        <v>146</v>
      </c>
      <c r="C55" s="77">
        <f>SUM('Marketing Monthly'!C55:E55)</f>
        <v>20028.349999999999</v>
      </c>
      <c r="D55" s="77">
        <f>SUM('Marketing Monthly'!F55:H55)</f>
        <v>16597.37</v>
      </c>
      <c r="E55" s="77"/>
      <c r="F55" s="77"/>
      <c r="G55" s="86">
        <f>SUM(C55:F55)</f>
        <v>36625.72</v>
      </c>
      <c r="H55" s="61"/>
      <c r="I55" s="61"/>
      <c r="J55" s="1"/>
    </row>
    <row r="56" spans="2:10" x14ac:dyDescent="0.25">
      <c r="B56" s="1" t="s">
        <v>147</v>
      </c>
      <c r="C56" s="77">
        <f>SUM('Marketing Monthly'!C56:E56)</f>
        <v>0</v>
      </c>
      <c r="D56" s="77">
        <f>SUM('Marketing Monthly'!F56:H56)</f>
        <v>0</v>
      </c>
      <c r="E56" s="77"/>
      <c r="F56" s="77"/>
      <c r="G56" s="86">
        <f>SUM(C56:F56)</f>
        <v>0</v>
      </c>
      <c r="H56" s="61"/>
      <c r="I56" s="61"/>
      <c r="J56" s="1"/>
    </row>
    <row r="57" spans="2:10" x14ac:dyDescent="0.25">
      <c r="B57" s="1" t="s">
        <v>148</v>
      </c>
      <c r="C57" s="77">
        <f>SUM('Marketing Monthly'!C57:E57)</f>
        <v>0</v>
      </c>
      <c r="D57" s="77">
        <f>SUM('Marketing Monthly'!F57:H57)</f>
        <v>375.3</v>
      </c>
      <c r="E57" s="77"/>
      <c r="F57" s="77"/>
      <c r="G57" s="86">
        <f>SUM(C57:F57)</f>
        <v>375.3</v>
      </c>
      <c r="H57" s="61"/>
      <c r="I57" s="61"/>
      <c r="J57" s="1"/>
    </row>
    <row r="58" spans="2:10" x14ac:dyDescent="0.25">
      <c r="B58" s="35" t="s">
        <v>149</v>
      </c>
      <c r="C58" s="81">
        <f>SUM('Marketing Monthly'!C58:E58)</f>
        <v>0.15</v>
      </c>
      <c r="D58" s="81">
        <f>SUM('Marketing Monthly'!F58:H58)</f>
        <v>84.02</v>
      </c>
      <c r="E58" s="81"/>
      <c r="F58" s="81"/>
      <c r="G58" s="101">
        <f>SUM(C58:F58)</f>
        <v>84.17</v>
      </c>
      <c r="H58" s="60"/>
      <c r="I58" s="60"/>
      <c r="J58" s="1"/>
    </row>
    <row r="59" spans="2:10" x14ac:dyDescent="0.25">
      <c r="B59" s="1"/>
      <c r="C59" s="1"/>
      <c r="D59" s="1"/>
      <c r="E59" s="1"/>
      <c r="F59" s="1"/>
      <c r="G59" s="1"/>
      <c r="H59" s="1"/>
      <c r="I59" s="1"/>
      <c r="J59" s="1"/>
    </row>
    <row r="60" spans="2:10" x14ac:dyDescent="0.25">
      <c r="B60" s="98" t="str">
        <f>BIPG</f>
        <v>Base Interruptible Program (BIP)</v>
      </c>
      <c r="C60" s="35"/>
      <c r="D60" s="35"/>
      <c r="E60" s="35"/>
      <c r="F60" s="35"/>
      <c r="G60" s="35"/>
      <c r="H60" s="99"/>
      <c r="I60" s="35"/>
      <c r="J60" s="1"/>
    </row>
    <row r="61" spans="2:10" x14ac:dyDescent="0.25">
      <c r="B61" s="1" t="s">
        <v>145</v>
      </c>
      <c r="C61" s="77">
        <f>SUM('Marketing Monthly'!C61:E61)</f>
        <v>0</v>
      </c>
      <c r="D61" s="77">
        <f>SUM('Marketing Monthly'!F61:H61)</f>
        <v>0</v>
      </c>
      <c r="E61" s="77"/>
      <c r="F61" s="77"/>
      <c r="G61" s="86">
        <f>SUM(C61:F61)</f>
        <v>0</v>
      </c>
      <c r="H61" s="61"/>
      <c r="I61" s="61"/>
      <c r="J61" s="1"/>
    </row>
    <row r="62" spans="2:10" x14ac:dyDescent="0.25">
      <c r="B62" s="1" t="s">
        <v>146</v>
      </c>
      <c r="C62" s="77">
        <f>SUM('Marketing Monthly'!C62:E62)</f>
        <v>2028.35</v>
      </c>
      <c r="D62" s="77">
        <f>SUM('Marketing Monthly'!F62:H62)</f>
        <v>16363.78</v>
      </c>
      <c r="E62" s="77"/>
      <c r="F62" s="77"/>
      <c r="G62" s="86">
        <f>SUM(C62:F62)</f>
        <v>18392.13</v>
      </c>
      <c r="H62" s="61"/>
      <c r="I62" s="61"/>
      <c r="J62" s="1"/>
    </row>
    <row r="63" spans="2:10" x14ac:dyDescent="0.25">
      <c r="B63" s="1" t="s">
        <v>147</v>
      </c>
      <c r="C63" s="77">
        <f>SUM('Marketing Monthly'!C63:E63)</f>
        <v>0</v>
      </c>
      <c r="D63" s="77">
        <f>SUM('Marketing Monthly'!F63:H63)</f>
        <v>0</v>
      </c>
      <c r="E63" s="77"/>
      <c r="F63" s="77"/>
      <c r="G63" s="86">
        <f>SUM(C63:F63)</f>
        <v>0</v>
      </c>
      <c r="H63" s="61"/>
      <c r="I63" s="61"/>
      <c r="J63" s="1"/>
    </row>
    <row r="64" spans="2:10" x14ac:dyDescent="0.25">
      <c r="B64" s="1" t="s">
        <v>148</v>
      </c>
      <c r="C64" s="77">
        <f>SUM('Marketing Monthly'!C64:E64)</f>
        <v>0</v>
      </c>
      <c r="D64" s="77">
        <f>SUM('Marketing Monthly'!F64:H64)</f>
        <v>375.3</v>
      </c>
      <c r="E64" s="77"/>
      <c r="F64" s="77"/>
      <c r="G64" s="86">
        <f>SUM(C64:F64)</f>
        <v>375.3</v>
      </c>
      <c r="H64" s="61"/>
      <c r="I64" s="61"/>
      <c r="J64" s="1"/>
    </row>
    <row r="65" spans="2:10" x14ac:dyDescent="0.25">
      <c r="B65" s="35" t="s">
        <v>149</v>
      </c>
      <c r="C65" s="81">
        <f>SUM('Marketing Monthly'!C65:E65)</f>
        <v>0.15</v>
      </c>
      <c r="D65" s="81">
        <f>SUM('Marketing Monthly'!F65:H65)</f>
        <v>81.84</v>
      </c>
      <c r="E65" s="81"/>
      <c r="F65" s="81"/>
      <c r="G65" s="101">
        <f>SUM(C65:F65)</f>
        <v>81.990000000000009</v>
      </c>
      <c r="H65" s="60"/>
      <c r="I65" s="60"/>
      <c r="J65" s="1"/>
    </row>
    <row r="66" spans="2:10" hidden="1" x14ac:dyDescent="0.25">
      <c r="B66" s="1"/>
      <c r="C66" s="77"/>
      <c r="D66" s="77"/>
      <c r="E66" s="77"/>
      <c r="F66" s="77"/>
      <c r="G66" s="1"/>
      <c r="H66" s="1"/>
      <c r="I66" s="1"/>
      <c r="J66" s="1"/>
    </row>
    <row r="67" spans="2:10" hidden="1" x14ac:dyDescent="0.25">
      <c r="B67" s="98" t="str">
        <f>SLRP</f>
        <v>Scheduled Load Reduction Program (SLRP)</v>
      </c>
      <c r="C67" s="81"/>
      <c r="D67" s="81"/>
      <c r="E67" s="81"/>
      <c r="F67" s="81"/>
      <c r="G67" s="35"/>
      <c r="H67" s="99"/>
      <c r="I67" s="35"/>
      <c r="J67" s="1"/>
    </row>
    <row r="68" spans="2:10" hidden="1" x14ac:dyDescent="0.25">
      <c r="B68" s="1" t="s">
        <v>145</v>
      </c>
      <c r="C68" s="77">
        <f>SUM('Marketing Monthly'!C68:E68)</f>
        <v>0</v>
      </c>
      <c r="D68" s="77"/>
      <c r="E68" s="77"/>
      <c r="F68" s="77"/>
      <c r="G68" s="86">
        <f>SUM(C68:F68)</f>
        <v>0</v>
      </c>
      <c r="H68" s="61"/>
      <c r="I68" s="61"/>
      <c r="J68" s="1"/>
    </row>
    <row r="69" spans="2:10" hidden="1" x14ac:dyDescent="0.25">
      <c r="B69" s="1" t="s">
        <v>146</v>
      </c>
      <c r="C69" s="77">
        <f>SUM('Marketing Monthly'!C69:E69)</f>
        <v>0</v>
      </c>
      <c r="D69" s="77"/>
      <c r="E69" s="77"/>
      <c r="F69" s="77"/>
      <c r="G69" s="86">
        <f>SUM(C69:F69)</f>
        <v>0</v>
      </c>
      <c r="H69" s="61"/>
      <c r="I69" s="61"/>
      <c r="J69" s="1"/>
    </row>
    <row r="70" spans="2:10" hidden="1" x14ac:dyDescent="0.25">
      <c r="B70" s="1" t="s">
        <v>147</v>
      </c>
      <c r="C70" s="77">
        <f>SUM('Marketing Monthly'!C70:E70)</f>
        <v>0</v>
      </c>
      <c r="D70" s="77"/>
      <c r="E70" s="77"/>
      <c r="F70" s="77"/>
      <c r="G70" s="86">
        <f>SUM(C70:F70)</f>
        <v>0</v>
      </c>
      <c r="H70" s="61"/>
      <c r="I70" s="61"/>
      <c r="J70" s="1"/>
    </row>
    <row r="71" spans="2:10" hidden="1" x14ac:dyDescent="0.25">
      <c r="B71" s="1" t="s">
        <v>148</v>
      </c>
      <c r="C71" s="77">
        <f>SUM('Marketing Monthly'!C71:E71)</f>
        <v>0</v>
      </c>
      <c r="D71" s="77"/>
      <c r="E71" s="77"/>
      <c r="F71" s="77"/>
      <c r="G71" s="86">
        <f>SUM(C71:F71)</f>
        <v>0</v>
      </c>
      <c r="H71" s="61"/>
      <c r="I71" s="61"/>
      <c r="J71" s="1"/>
    </row>
    <row r="72" spans="2:10" hidden="1" x14ac:dyDescent="0.25">
      <c r="B72" s="35" t="s">
        <v>149</v>
      </c>
      <c r="C72" s="81">
        <f>SUM('Marketing Monthly'!C72:E72)</f>
        <v>0</v>
      </c>
      <c r="D72" s="81"/>
      <c r="E72" s="81"/>
      <c r="F72" s="81"/>
      <c r="G72" s="101">
        <f>SUM(C72:F72)</f>
        <v>0</v>
      </c>
      <c r="H72" s="60"/>
      <c r="I72" s="60"/>
      <c r="J72" s="1"/>
    </row>
    <row r="73" spans="2:10" x14ac:dyDescent="0.25">
      <c r="B73" s="1"/>
      <c r="C73" s="77"/>
      <c r="D73" s="77"/>
      <c r="E73" s="77"/>
      <c r="F73" s="77"/>
      <c r="G73" s="1"/>
      <c r="H73" s="1"/>
      <c r="I73" s="1"/>
      <c r="J73" s="1"/>
    </row>
    <row r="74" spans="2:10" x14ac:dyDescent="0.25">
      <c r="B74" s="98" t="str">
        <f>SEP</f>
        <v>Smart Energy Program (SEP)</v>
      </c>
      <c r="C74" s="81"/>
      <c r="D74" s="81"/>
      <c r="E74" s="81"/>
      <c r="F74" s="81"/>
      <c r="G74" s="35"/>
      <c r="H74" s="99"/>
      <c r="I74" s="35"/>
      <c r="J74" s="1"/>
    </row>
    <row r="75" spans="2:10" x14ac:dyDescent="0.25">
      <c r="B75" s="1" t="s">
        <v>145</v>
      </c>
      <c r="C75" s="77">
        <f>SUM('Marketing Monthly'!C75:E75)</f>
        <v>0</v>
      </c>
      <c r="D75" s="77">
        <f>SUM('Marketing Monthly'!F75:H75)</f>
        <v>0</v>
      </c>
      <c r="E75" s="77"/>
      <c r="F75" s="77"/>
      <c r="G75" s="86">
        <f>SUM(C75:F75)</f>
        <v>0</v>
      </c>
      <c r="H75" s="61"/>
      <c r="I75" s="61"/>
      <c r="J75" s="1"/>
    </row>
    <row r="76" spans="2:10" x14ac:dyDescent="0.25">
      <c r="B76" s="1" t="s">
        <v>146</v>
      </c>
      <c r="C76" s="77">
        <f>SUM('Marketing Monthly'!C76:E76)</f>
        <v>-180640.47999999998</v>
      </c>
      <c r="D76" s="77">
        <f>SUM('Marketing Monthly'!F76:H76)</f>
        <v>224801.56</v>
      </c>
      <c r="E76" s="77"/>
      <c r="F76" s="77"/>
      <c r="G76" s="86">
        <f>SUM(C76:F76)</f>
        <v>44161.080000000016</v>
      </c>
      <c r="H76" s="61"/>
      <c r="I76" s="61"/>
      <c r="J76" s="1">
        <v>42</v>
      </c>
    </row>
    <row r="77" spans="2:10" x14ac:dyDescent="0.25">
      <c r="B77" s="1" t="s">
        <v>147</v>
      </c>
      <c r="C77" s="77">
        <f>SUM('Marketing Monthly'!C77:E77)</f>
        <v>-735.56</v>
      </c>
      <c r="D77" s="77">
        <f>SUM('Marketing Monthly'!F77:H77)</f>
        <v>0</v>
      </c>
      <c r="E77" s="77"/>
      <c r="F77" s="77"/>
      <c r="G77" s="86">
        <f>SUM(C77:F77)</f>
        <v>-735.56</v>
      </c>
      <c r="H77" s="61"/>
      <c r="I77" s="61"/>
      <c r="J77" s="1">
        <v>43</v>
      </c>
    </row>
    <row r="78" spans="2:10" x14ac:dyDescent="0.25">
      <c r="B78" s="1" t="s">
        <v>148</v>
      </c>
      <c r="C78" s="77">
        <f>SUM('Marketing Monthly'!C78:E78)</f>
        <v>505846.54</v>
      </c>
      <c r="D78" s="77">
        <f>SUM('Marketing Monthly'!F78:H78)</f>
        <v>8734.7000000000007</v>
      </c>
      <c r="E78" s="77"/>
      <c r="F78" s="77"/>
      <c r="G78" s="86">
        <f>SUM(C78:F78)</f>
        <v>514581.24</v>
      </c>
      <c r="H78" s="61"/>
      <c r="I78" s="61"/>
      <c r="J78" s="1">
        <v>44</v>
      </c>
    </row>
    <row r="79" spans="2:10" x14ac:dyDescent="0.25">
      <c r="B79" s="35" t="s">
        <v>149</v>
      </c>
      <c r="C79" s="81">
        <f>SUM('Marketing Monthly'!C79:E79)</f>
        <v>3376.12</v>
      </c>
      <c r="D79" s="81">
        <f>SUM('Marketing Monthly'!F79:H79)</f>
        <v>1066.21</v>
      </c>
      <c r="E79" s="81"/>
      <c r="F79" s="81"/>
      <c r="G79" s="101">
        <f>SUM(C79:F79)</f>
        <v>4442.33</v>
      </c>
      <c r="H79" s="60"/>
      <c r="I79" s="60"/>
      <c r="J79" s="1">
        <v>45</v>
      </c>
    </row>
    <row r="80" spans="2:10" x14ac:dyDescent="0.25">
      <c r="B80" s="1"/>
      <c r="C80" s="77"/>
      <c r="D80" s="77"/>
      <c r="E80" s="77"/>
      <c r="F80" s="77"/>
      <c r="G80" s="1"/>
      <c r="H80" s="1"/>
      <c r="I80" s="1"/>
      <c r="J80" s="1"/>
    </row>
    <row r="81" spans="2:10" x14ac:dyDescent="0.25">
      <c r="B81" s="98" t="str">
        <f>SDPG</f>
        <v>Summer Discount Plan Program (SDP)</v>
      </c>
      <c r="C81" s="81"/>
      <c r="D81" s="81"/>
      <c r="E81" s="81"/>
      <c r="F81" s="81"/>
      <c r="G81" s="35"/>
      <c r="H81" s="99"/>
      <c r="I81" s="35"/>
      <c r="J81" s="1"/>
    </row>
    <row r="82" spans="2:10" x14ac:dyDescent="0.25">
      <c r="B82" s="1" t="s">
        <v>145</v>
      </c>
      <c r="C82" s="77">
        <f>SUM('Marketing Monthly'!C82:E82)</f>
        <v>0</v>
      </c>
      <c r="D82" s="77">
        <f>SUM('Marketing Monthly'!F82:H82)</f>
        <v>0</v>
      </c>
      <c r="E82" s="77"/>
      <c r="F82" s="77"/>
      <c r="G82" s="86">
        <f>SUM(C82:F82)</f>
        <v>0</v>
      </c>
      <c r="H82" s="61"/>
      <c r="I82" s="61"/>
      <c r="J82" s="1">
        <v>46</v>
      </c>
    </row>
    <row r="83" spans="2:10" x14ac:dyDescent="0.25">
      <c r="B83" s="1" t="s">
        <v>146</v>
      </c>
      <c r="C83" s="77">
        <f>SUM('Marketing Monthly'!C83:E83)</f>
        <v>5939.8199999999988</v>
      </c>
      <c r="D83" s="77">
        <f>SUM('Marketing Monthly'!F83:H83)</f>
        <v>1134409.97</v>
      </c>
      <c r="E83" s="77"/>
      <c r="F83" s="77"/>
      <c r="G83" s="86">
        <f>SUM(C83:F83)</f>
        <v>1140349.79</v>
      </c>
      <c r="H83" s="61"/>
      <c r="I83" s="61"/>
      <c r="J83" s="1">
        <v>47</v>
      </c>
    </row>
    <row r="84" spans="2:10" x14ac:dyDescent="0.25">
      <c r="B84" s="1" t="s">
        <v>147</v>
      </c>
      <c r="C84" s="77">
        <f>SUM('Marketing Monthly'!C84:E84)</f>
        <v>14938.470000000001</v>
      </c>
      <c r="D84" s="77">
        <f>SUM('Marketing Monthly'!F84:H84)</f>
        <v>12389.970000000001</v>
      </c>
      <c r="E84" s="77"/>
      <c r="F84" s="77"/>
      <c r="G84" s="86">
        <f>SUM(C84:F84)</f>
        <v>27328.440000000002</v>
      </c>
      <c r="H84" s="61"/>
      <c r="I84" s="61"/>
      <c r="J84" s="1">
        <v>48</v>
      </c>
    </row>
    <row r="85" spans="2:10" x14ac:dyDescent="0.25">
      <c r="B85" s="1" t="s">
        <v>148</v>
      </c>
      <c r="C85" s="77">
        <f>SUM('Marketing Monthly'!C85:E85)</f>
        <v>0</v>
      </c>
      <c r="D85" s="77">
        <f>SUM('Marketing Monthly'!F85:H85)</f>
        <v>3377.7</v>
      </c>
      <c r="E85" s="77"/>
      <c r="F85" s="77"/>
      <c r="G85" s="86">
        <f>SUM(C85:F85)</f>
        <v>3377.7</v>
      </c>
      <c r="H85" s="61"/>
      <c r="I85" s="61"/>
      <c r="J85" s="1">
        <v>49</v>
      </c>
    </row>
    <row r="86" spans="2:10" x14ac:dyDescent="0.25">
      <c r="B86" s="35" t="s">
        <v>149</v>
      </c>
      <c r="C86" s="81">
        <f>SUM('Marketing Monthly'!C86:E86)</f>
        <v>155.69</v>
      </c>
      <c r="D86" s="81">
        <f>SUM('Marketing Monthly'!F86:H86)</f>
        <v>3544.88</v>
      </c>
      <c r="E86" s="81"/>
      <c r="F86" s="81"/>
      <c r="G86" s="101">
        <f>SUM(C86:F86)</f>
        <v>3700.57</v>
      </c>
      <c r="H86" s="60"/>
      <c r="I86" s="60"/>
      <c r="J86" s="1">
        <v>50</v>
      </c>
    </row>
    <row r="87" spans="2:10" hidden="1" x14ac:dyDescent="0.25">
      <c r="B87" s="1"/>
      <c r="C87" s="77"/>
      <c r="D87" s="77"/>
      <c r="E87" s="77"/>
      <c r="F87" s="77"/>
      <c r="G87" s="1"/>
      <c r="H87" s="1"/>
      <c r="I87" s="1"/>
      <c r="J87" s="1"/>
    </row>
    <row r="88" spans="2:10" hidden="1" x14ac:dyDescent="0.25">
      <c r="B88" s="98" t="str">
        <f>TIP</f>
        <v>Technology Incentive Program (AutoDR-TI)</v>
      </c>
      <c r="C88" s="81"/>
      <c r="D88" s="81"/>
      <c r="E88" s="81"/>
      <c r="F88" s="81"/>
      <c r="G88" s="35"/>
      <c r="H88" s="99"/>
      <c r="I88" s="35"/>
      <c r="J88" s="1"/>
    </row>
    <row r="89" spans="2:10" hidden="1" x14ac:dyDescent="0.25">
      <c r="B89" s="1" t="s">
        <v>145</v>
      </c>
      <c r="C89" s="77">
        <f>SUM('Marketing Monthly'!C89:E89)</f>
        <v>0</v>
      </c>
      <c r="D89" s="77"/>
      <c r="E89" s="77"/>
      <c r="F89" s="77"/>
      <c r="G89" s="86">
        <f>SUM(C89:F89)</f>
        <v>0</v>
      </c>
      <c r="H89" s="61"/>
      <c r="I89" s="61"/>
      <c r="J89" s="1"/>
    </row>
    <row r="90" spans="2:10" hidden="1" x14ac:dyDescent="0.25">
      <c r="B90" s="1" t="s">
        <v>146</v>
      </c>
      <c r="C90" s="77">
        <f>SUM('Marketing Monthly'!C90:E90)</f>
        <v>0</v>
      </c>
      <c r="D90" s="77"/>
      <c r="E90" s="77"/>
      <c r="F90" s="77"/>
      <c r="G90" s="86">
        <f>SUM(C90:F90)</f>
        <v>0</v>
      </c>
      <c r="H90" s="61"/>
      <c r="I90" s="61"/>
      <c r="J90" s="1">
        <v>52</v>
      </c>
    </row>
    <row r="91" spans="2:10" hidden="1" x14ac:dyDescent="0.25">
      <c r="B91" s="1" t="s">
        <v>147</v>
      </c>
      <c r="C91" s="77">
        <f>SUM('Marketing Monthly'!C91:E91)</f>
        <v>0</v>
      </c>
      <c r="D91" s="77"/>
      <c r="E91" s="77"/>
      <c r="F91" s="77"/>
      <c r="G91" s="86">
        <f>SUM(C91:F91)</f>
        <v>0</v>
      </c>
      <c r="H91" s="61"/>
      <c r="I91" s="61"/>
      <c r="J91" s="1"/>
    </row>
    <row r="92" spans="2:10" hidden="1" x14ac:dyDescent="0.25">
      <c r="B92" s="1" t="s">
        <v>148</v>
      </c>
      <c r="C92" s="77">
        <f>SUM('Marketing Monthly'!C92:E92)</f>
        <v>0</v>
      </c>
      <c r="D92" s="77"/>
      <c r="E92" s="77"/>
      <c r="F92" s="77"/>
      <c r="G92" s="86">
        <f>SUM(C92:F92)</f>
        <v>0</v>
      </c>
      <c r="H92" s="61"/>
      <c r="I92" s="61"/>
      <c r="J92" s="1"/>
    </row>
    <row r="93" spans="2:10" hidden="1" x14ac:dyDescent="0.25">
      <c r="B93" s="35" t="s">
        <v>149</v>
      </c>
      <c r="C93" s="81">
        <f>SUM('Marketing Monthly'!C93:E93)</f>
        <v>0</v>
      </c>
      <c r="D93" s="81"/>
      <c r="E93" s="81"/>
      <c r="F93" s="81"/>
      <c r="G93" s="101">
        <f>SUM(C93:F93)</f>
        <v>0</v>
      </c>
      <c r="H93" s="60"/>
      <c r="I93" s="60"/>
      <c r="J93" s="1">
        <v>55</v>
      </c>
    </row>
    <row r="94" spans="2:10" hidden="1" x14ac:dyDescent="0.25">
      <c r="B94" s="1"/>
      <c r="C94" s="77"/>
      <c r="D94" s="77"/>
      <c r="E94" s="77"/>
      <c r="F94" s="77"/>
      <c r="G94" s="1"/>
      <c r="H94" s="1"/>
      <c r="I94" s="1"/>
      <c r="J94" s="1"/>
    </row>
    <row r="95" spans="2:10" hidden="1" x14ac:dyDescent="0.25">
      <c r="B95" s="98" t="s">
        <v>150</v>
      </c>
      <c r="C95" s="81"/>
      <c r="D95" s="81"/>
      <c r="E95" s="81"/>
      <c r="F95" s="81"/>
      <c r="G95" s="35"/>
      <c r="H95" s="99"/>
      <c r="I95" s="35"/>
      <c r="J95" s="1"/>
    </row>
    <row r="96" spans="2:10" hidden="1" x14ac:dyDescent="0.25">
      <c r="B96" s="1" t="s">
        <v>145</v>
      </c>
      <c r="C96" s="77">
        <f>SUM('Marketing Monthly'!C96:E96)</f>
        <v>0</v>
      </c>
      <c r="D96" s="77"/>
      <c r="E96" s="77"/>
      <c r="F96" s="77"/>
      <c r="G96" s="86">
        <f>SUM(C96:F96)</f>
        <v>0</v>
      </c>
      <c r="H96" s="61"/>
      <c r="I96" s="61"/>
      <c r="J96" s="1"/>
    </row>
    <row r="97" spans="2:10" hidden="1" x14ac:dyDescent="0.25">
      <c r="B97" s="1" t="s">
        <v>146</v>
      </c>
      <c r="C97" s="77">
        <f>SUM('Marketing Monthly'!C97:E97)</f>
        <v>0</v>
      </c>
      <c r="D97" s="77"/>
      <c r="E97" s="77"/>
      <c r="F97" s="77"/>
      <c r="G97" s="86">
        <f>SUM(C97:F97)</f>
        <v>0</v>
      </c>
      <c r="H97" s="61"/>
      <c r="I97" s="61"/>
      <c r="J97" s="1"/>
    </row>
    <row r="98" spans="2:10" hidden="1" x14ac:dyDescent="0.25">
      <c r="B98" s="1" t="s">
        <v>147</v>
      </c>
      <c r="C98" s="77">
        <f>SUM('Marketing Monthly'!C98:E98)</f>
        <v>0</v>
      </c>
      <c r="D98" s="77"/>
      <c r="E98" s="77"/>
      <c r="F98" s="77"/>
      <c r="G98" s="86">
        <f>SUM(C98:F98)</f>
        <v>0</v>
      </c>
      <c r="H98" s="61"/>
      <c r="I98" s="61"/>
      <c r="J98" s="1">
        <v>58</v>
      </c>
    </row>
    <row r="99" spans="2:10" hidden="1" x14ac:dyDescent="0.25">
      <c r="B99" s="1" t="s">
        <v>148</v>
      </c>
      <c r="C99" s="77">
        <f>SUM('Marketing Monthly'!C99:E99)</f>
        <v>0</v>
      </c>
      <c r="D99" s="77"/>
      <c r="E99" s="77"/>
      <c r="F99" s="77"/>
      <c r="G99" s="86">
        <f>SUM(C99:F99)</f>
        <v>0</v>
      </c>
      <c r="H99" s="61"/>
      <c r="I99" s="61"/>
      <c r="J99" s="1">
        <v>59</v>
      </c>
    </row>
    <row r="100" spans="2:10" hidden="1" x14ac:dyDescent="0.25">
      <c r="B100" s="35" t="s">
        <v>149</v>
      </c>
      <c r="C100" s="81">
        <f>SUM('Marketing Monthly'!C100:E100)</f>
        <v>0</v>
      </c>
      <c r="D100" s="81"/>
      <c r="E100" s="81"/>
      <c r="F100" s="81"/>
      <c r="G100" s="101">
        <f>SUM(C100:F100)</f>
        <v>0</v>
      </c>
      <c r="H100" s="60"/>
      <c r="I100" s="60"/>
      <c r="J100" s="1">
        <v>60</v>
      </c>
    </row>
    <row r="101" spans="2:10" x14ac:dyDescent="0.25">
      <c r="B101" s="1"/>
      <c r="C101" s="1"/>
      <c r="D101" s="1"/>
      <c r="E101" s="1"/>
      <c r="F101" s="1"/>
      <c r="G101" s="1"/>
      <c r="H101" s="1"/>
      <c r="I101" s="1"/>
      <c r="J101" s="1"/>
    </row>
    <row r="102" spans="2:10" x14ac:dyDescent="0.25">
      <c r="B102" s="88" t="s">
        <v>151</v>
      </c>
      <c r="C102" s="89">
        <f>SUM(C49,C54:C58,C61:C65,C68:C72,C75:C79,C82:C86,C89:C93,C96:C100)</f>
        <v>433592.16</v>
      </c>
      <c r="D102" s="89">
        <f t="shared" ref="D102:G102" si="7">SUM(D49,D54:D58,D61:D65,D68:D72,D75:D79,D82:D86,D89:D93,D96:D100)</f>
        <v>2476611.5100000007</v>
      </c>
      <c r="E102" s="89">
        <f t="shared" si="7"/>
        <v>0</v>
      </c>
      <c r="F102" s="89">
        <f t="shared" si="7"/>
        <v>0</v>
      </c>
      <c r="G102" s="89">
        <f t="shared" si="7"/>
        <v>2910203.67</v>
      </c>
      <c r="H102" s="89">
        <f>SUM(H49,H88,H81,H74,H67,H60,H53,H95)</f>
        <v>0</v>
      </c>
      <c r="I102" s="102"/>
      <c r="J102" s="1"/>
    </row>
    <row r="103" spans="2:10" x14ac:dyDescent="0.25">
      <c r="B103" s="1"/>
      <c r="C103" s="1"/>
      <c r="D103" s="1"/>
      <c r="E103" s="1"/>
      <c r="F103" s="1"/>
      <c r="G103" s="1"/>
      <c r="H103" s="1"/>
      <c r="I103" s="1"/>
      <c r="J103" s="1"/>
    </row>
    <row r="104" spans="2:10" x14ac:dyDescent="0.25">
      <c r="B104" s="98" t="s">
        <v>152</v>
      </c>
      <c r="C104" s="35"/>
      <c r="D104" s="35"/>
      <c r="E104" s="35"/>
      <c r="F104" s="35"/>
      <c r="G104" s="35"/>
      <c r="H104" s="35"/>
      <c r="I104" s="35"/>
      <c r="J104" s="1"/>
    </row>
    <row r="105" spans="2:10" x14ac:dyDescent="0.25">
      <c r="B105" s="1" t="s">
        <v>145</v>
      </c>
      <c r="C105" s="77">
        <f>SUM('Marketing Monthly'!C105:E105)</f>
        <v>0</v>
      </c>
      <c r="D105" s="77">
        <f>SUM('Marketing Monthly'!F105:H105)</f>
        <v>0</v>
      </c>
      <c r="E105" s="77" t="str">
        <f>IF(ISBLANK(E54)," ",SUMIF($B$54:$B$100,$B105,E54:E100))</f>
        <v xml:space="preserve"> </v>
      </c>
      <c r="F105" s="77" t="str">
        <f>IF(ISBLANK(F54)," ",SUMIF($B$54:$B$100,$B105,F54:F100))</f>
        <v xml:space="preserve"> </v>
      </c>
      <c r="G105" s="86">
        <f t="shared" ref="G105:G110" si="8">SUM(C105:F105)</f>
        <v>0</v>
      </c>
      <c r="H105" s="61"/>
      <c r="I105" s="61"/>
      <c r="J105" s="1"/>
    </row>
    <row r="106" spans="2:10" x14ac:dyDescent="0.25">
      <c r="B106" s="1" t="s">
        <v>146</v>
      </c>
      <c r="C106" s="77">
        <f>SUM('Marketing Monthly'!C106:E106)</f>
        <v>-152643.96</v>
      </c>
      <c r="D106" s="77">
        <f>SUM('Marketing Monthly'!F106:H106)</f>
        <v>1392172.6799999997</v>
      </c>
      <c r="E106" s="77" t="str">
        <f>IF(ISBLANK(E54)," ",SUMIF($B$54:$B$100,$B106,E54:E100))</f>
        <v xml:space="preserve"> </v>
      </c>
      <c r="F106" s="77" t="str">
        <f>IF(ISBLANK(F54)," ",SUMIF($B$54:$B$100,$B106,F54:F100))</f>
        <v xml:space="preserve"> </v>
      </c>
      <c r="G106" s="86">
        <f t="shared" si="8"/>
        <v>1239528.7199999997</v>
      </c>
      <c r="H106" s="61"/>
      <c r="I106" s="61"/>
      <c r="J106" s="1"/>
    </row>
    <row r="107" spans="2:10" x14ac:dyDescent="0.25">
      <c r="B107" s="1" t="s">
        <v>147</v>
      </c>
      <c r="C107" s="77">
        <f>SUM('Marketing Monthly'!C107:E107)</f>
        <v>14202.91</v>
      </c>
      <c r="D107" s="77">
        <f>SUM('Marketing Monthly'!F107:H107)</f>
        <v>12389.970000000001</v>
      </c>
      <c r="E107" s="77" t="str">
        <f>IF(ISBLANK(E54)," ",SUMIF($B$54:$B$100,$B107,E54:E100))</f>
        <v xml:space="preserve"> </v>
      </c>
      <c r="F107" s="77" t="str">
        <f>IF(ISBLANK(F54)," ",SUMIF($B$54:$B$100,$B107,F54:F100))</f>
        <v xml:space="preserve"> </v>
      </c>
      <c r="G107" s="86">
        <f t="shared" si="8"/>
        <v>26592.880000000001</v>
      </c>
      <c r="H107" s="61"/>
      <c r="I107" s="61"/>
      <c r="J107" s="1"/>
    </row>
    <row r="108" spans="2:10" x14ac:dyDescent="0.25">
      <c r="B108" s="1" t="s">
        <v>148</v>
      </c>
      <c r="C108" s="77">
        <f>SUM('Marketing Monthly'!C108:E108)</f>
        <v>505846.54</v>
      </c>
      <c r="D108" s="77">
        <f>SUM('Marketing Monthly'!F108:H108)</f>
        <v>12863</v>
      </c>
      <c r="E108" s="77" t="str">
        <f>IF(ISBLANK(E54)," ",SUMIF($B$54:$B$100,$B108,E54:E100))</f>
        <v xml:space="preserve"> </v>
      </c>
      <c r="F108" s="77" t="str">
        <f>IF(ISBLANK(F54)," ",SUMIF($B$54:$B$100,$B108,F54:F100))</f>
        <v xml:space="preserve"> </v>
      </c>
      <c r="G108" s="86">
        <f t="shared" si="8"/>
        <v>518709.54</v>
      </c>
      <c r="H108" s="61"/>
      <c r="I108" s="61"/>
      <c r="J108" s="1"/>
    </row>
    <row r="109" spans="2:10" x14ac:dyDescent="0.25">
      <c r="B109" s="1" t="s">
        <v>149</v>
      </c>
      <c r="C109" s="77">
        <f>SUM('Marketing Monthly'!C109:E109)</f>
        <v>3532.11</v>
      </c>
      <c r="D109" s="77">
        <f>SUM('Marketing Monthly'!F109:H109)</f>
        <v>4776.95</v>
      </c>
      <c r="E109" s="77" t="str">
        <f>IF(ISBLANK(E54)," ",SUMIF($B$54:$B$100,$B109,E54:E100))</f>
        <v xml:space="preserve"> </v>
      </c>
      <c r="F109" s="77" t="str">
        <f>IF(ISBLANK(F54)," ",SUMIF($B$54:$B$100,$B109,F54:F100))</f>
        <v xml:space="preserve"> </v>
      </c>
      <c r="G109" s="86">
        <f t="shared" si="8"/>
        <v>8309.06</v>
      </c>
      <c r="H109" s="61"/>
      <c r="I109" s="61"/>
      <c r="J109" s="1"/>
    </row>
    <row r="110" spans="2:10" x14ac:dyDescent="0.25">
      <c r="B110" s="103" t="s">
        <v>153</v>
      </c>
      <c r="C110" s="77">
        <f>SUM('Marketing Monthly'!C110:E110)</f>
        <v>62654.559999999969</v>
      </c>
      <c r="D110" s="77">
        <f>SUM('Marketing Monthly'!F110:H110)</f>
        <v>1054408.9099999999</v>
      </c>
      <c r="E110" s="77" t="str">
        <f>IF(E49=0,"",E49)</f>
        <v/>
      </c>
      <c r="F110" s="77" t="str">
        <f>IF(F49=0,"",F49)</f>
        <v/>
      </c>
      <c r="G110" s="86">
        <f t="shared" si="8"/>
        <v>1117063.47</v>
      </c>
      <c r="H110" s="61"/>
      <c r="I110" s="61"/>
      <c r="J110" s="1"/>
    </row>
    <row r="111" spans="2:10" x14ac:dyDescent="0.25">
      <c r="B111" s="88" t="s">
        <v>154</v>
      </c>
      <c r="C111" s="89">
        <f>SUM(C105:C110)</f>
        <v>433592.15999999992</v>
      </c>
      <c r="D111" s="89">
        <f t="shared" ref="D111:G111" si="9">SUM(D105:D110)</f>
        <v>2476611.5099999998</v>
      </c>
      <c r="E111" s="89">
        <f t="shared" si="9"/>
        <v>0</v>
      </c>
      <c r="F111" s="89">
        <f t="shared" si="9"/>
        <v>0</v>
      </c>
      <c r="G111" s="89">
        <f t="shared" si="9"/>
        <v>2910203.67</v>
      </c>
      <c r="H111" s="89">
        <f>H102</f>
        <v>0</v>
      </c>
      <c r="I111" s="102"/>
      <c r="J111" s="1"/>
    </row>
    <row r="112" spans="2:10" x14ac:dyDescent="0.25">
      <c r="B112" s="1"/>
      <c r="C112" s="1"/>
      <c r="D112" s="1"/>
      <c r="E112" s="1"/>
      <c r="F112" s="1"/>
      <c r="G112" s="1"/>
      <c r="H112" s="1"/>
      <c r="I112" s="1"/>
      <c r="J112" s="1"/>
    </row>
    <row r="113" spans="2:10" ht="15.75" x14ac:dyDescent="0.25">
      <c r="B113" s="98" t="s">
        <v>155</v>
      </c>
      <c r="C113" s="35"/>
      <c r="D113" s="35"/>
      <c r="E113" s="35"/>
      <c r="F113" s="35"/>
      <c r="G113" s="35"/>
      <c r="H113" s="35"/>
      <c r="I113" s="35"/>
      <c r="J113" s="1"/>
    </row>
    <row r="114" spans="2:10" x14ac:dyDescent="0.25">
      <c r="B114" s="1" t="s">
        <v>156</v>
      </c>
      <c r="C114" s="77">
        <f>SUM('Marketing Monthly'!C114:E114)</f>
        <v>20117.619500000001</v>
      </c>
      <c r="D114" s="77">
        <f>SUM('Marketing Monthly'!F114:H114)</f>
        <v>17053.165199999999</v>
      </c>
      <c r="E114" s="77" t="str">
        <f>IF(E102=0,"",SUM(E54:E58,E17,#REF!*0.01))</f>
        <v/>
      </c>
      <c r="F114" s="77" t="str">
        <f>IF(F102=0,"",SUM(F54:F58,F17,#REF!*0.01))</f>
        <v/>
      </c>
      <c r="G114" s="86">
        <f>SUM(C114:F114)</f>
        <v>37170.784700000004</v>
      </c>
      <c r="H114" s="61"/>
      <c r="I114" s="61"/>
      <c r="J114" s="1"/>
    </row>
    <row r="115" spans="2:10" x14ac:dyDescent="0.25">
      <c r="B115" s="1" t="s">
        <v>157</v>
      </c>
      <c r="C115" s="77">
        <f>SUM('Marketing Monthly'!C115:E115)</f>
        <v>7974.9941000000017</v>
      </c>
      <c r="D115" s="77">
        <f>SUM('Marketing Monthly'!F115:H115)</f>
        <v>87054.712899999999</v>
      </c>
      <c r="E115" s="77" t="str">
        <f>IF(E102=0,"",SUM(E61:E65)+(SUM(E89:E93)*0.8)+(#REF!*0.8)+SUM(E68:E72)+SUM(E96:E100))</f>
        <v/>
      </c>
      <c r="F115" s="77" t="str">
        <f>IF(F102=0,"",SUM(F61:F65)+(SUM(F89:F93)*0.8)+(#REF!*0.8)+SUM(F68:F72)+SUM(F96:F100))</f>
        <v/>
      </c>
      <c r="G115" s="86">
        <f>SUM(C115:F115)</f>
        <v>95029.706999999995</v>
      </c>
      <c r="H115" s="61"/>
      <c r="I115" s="61"/>
      <c r="J115" s="1"/>
    </row>
    <row r="116" spans="2:10" x14ac:dyDescent="0.25">
      <c r="B116" s="1" t="s">
        <v>158</v>
      </c>
      <c r="C116" s="77">
        <f>SUM('Marketing Monthly'!C116:E116)</f>
        <v>21840.014499999976</v>
      </c>
      <c r="D116" s="77">
        <f>SUM('Marketing Monthly'!F116:H116)</f>
        <v>688084.45880000002</v>
      </c>
      <c r="E116" s="77" t="str">
        <f>IF(E102=0,"",(SUM(E89:E93)*0.2)+(#REF!*0.19))</f>
        <v/>
      </c>
      <c r="F116" s="77" t="str">
        <f>IF(F102=0,"",(SUM(F89:F93)*0.2)+(#REF!*0.19))</f>
        <v/>
      </c>
      <c r="G116" s="86">
        <f>SUM(C116:F116)</f>
        <v>709924.47329999995</v>
      </c>
      <c r="H116" s="61"/>
      <c r="I116" s="61"/>
      <c r="J116" s="1"/>
    </row>
    <row r="117" spans="2:10" x14ac:dyDescent="0.25">
      <c r="B117" s="1" t="s">
        <v>159</v>
      </c>
      <c r="C117" s="77">
        <f>SUM('Marketing Monthly'!C117:E117)</f>
        <v>383659.5319</v>
      </c>
      <c r="D117" s="77">
        <f>SUM('Marketing Monthly'!F117:H117)</f>
        <v>1684419.1730999998</v>
      </c>
      <c r="E117" s="77" t="str">
        <f>IF(E102=0,"",SUM(E75:E79,E82:E86,#REF!))</f>
        <v/>
      </c>
      <c r="F117" s="77" t="str">
        <f>IF(F102=0,"",SUM(F75:F79,F82:F86,#REF!))</f>
        <v/>
      </c>
      <c r="G117" s="86">
        <f>SUM(C117:F117)</f>
        <v>2068078.7049999998</v>
      </c>
      <c r="H117" s="61"/>
      <c r="I117" s="61"/>
      <c r="J117" s="1"/>
    </row>
    <row r="118" spans="2:10" x14ac:dyDescent="0.25">
      <c r="B118" s="88" t="s">
        <v>160</v>
      </c>
      <c r="C118" s="89">
        <f>SUM(C114:C117)</f>
        <v>433592.16</v>
      </c>
      <c r="D118" s="89">
        <f t="shared" ref="D118:G118" si="10">SUM(D114:D117)</f>
        <v>2476611.5099999998</v>
      </c>
      <c r="E118" s="89">
        <f t="shared" si="10"/>
        <v>0</v>
      </c>
      <c r="F118" s="89">
        <f t="shared" si="10"/>
        <v>0</v>
      </c>
      <c r="G118" s="89">
        <f t="shared" si="10"/>
        <v>2910203.67</v>
      </c>
      <c r="H118" s="89">
        <f>H102</f>
        <v>0</v>
      </c>
      <c r="I118" s="102"/>
      <c r="J118" s="1"/>
    </row>
    <row r="119" spans="2:10" x14ac:dyDescent="0.25">
      <c r="B119" s="1"/>
      <c r="C119" s="1"/>
      <c r="D119" s="1"/>
      <c r="E119" s="1"/>
      <c r="F119" s="1"/>
      <c r="G119" s="1"/>
      <c r="H119" s="1"/>
      <c r="I119" s="1"/>
      <c r="J119" s="1"/>
    </row>
    <row r="120" spans="2:10" x14ac:dyDescent="0.25">
      <c r="B120" s="2" t="s">
        <v>72</v>
      </c>
      <c r="C120" s="1"/>
      <c r="D120" s="1"/>
      <c r="E120" s="1"/>
      <c r="F120" s="1"/>
      <c r="G120" s="1"/>
      <c r="H120" s="1"/>
      <c r="I120" s="1"/>
      <c r="J120" s="1"/>
    </row>
    <row r="121" spans="2:10" ht="52.5" customHeight="1" x14ac:dyDescent="0.25">
      <c r="B121" s="234" t="s">
        <v>161</v>
      </c>
      <c r="C121" s="234"/>
      <c r="D121" s="234"/>
      <c r="E121" s="234"/>
      <c r="F121" s="234"/>
      <c r="G121" s="234"/>
      <c r="H121" s="234"/>
      <c r="I121" s="234"/>
      <c r="J121" s="1"/>
    </row>
    <row r="122" spans="2:10" x14ac:dyDescent="0.25">
      <c r="B122" s="1" t="s">
        <v>162</v>
      </c>
      <c r="C122" s="1"/>
      <c r="D122" s="1"/>
      <c r="E122" s="1"/>
      <c r="F122" s="1"/>
      <c r="G122" s="1"/>
      <c r="H122" s="1"/>
      <c r="I122" s="1"/>
      <c r="J122" s="1"/>
    </row>
    <row r="123" spans="2:10" x14ac:dyDescent="0.25">
      <c r="B123" s="1" t="s">
        <v>163</v>
      </c>
      <c r="C123" s="1"/>
      <c r="D123" s="1"/>
      <c r="E123" s="1"/>
      <c r="F123" s="1"/>
      <c r="G123" s="1"/>
      <c r="H123" s="1"/>
      <c r="I123" s="1"/>
      <c r="J123" s="1"/>
    </row>
    <row r="124" spans="2:10" x14ac:dyDescent="0.25">
      <c r="B124" s="120" t="s">
        <v>257</v>
      </c>
      <c r="C124" s="1"/>
      <c r="D124" s="1"/>
      <c r="E124" s="1"/>
      <c r="F124" s="1"/>
      <c r="G124" s="1"/>
      <c r="H124" s="1"/>
      <c r="I124" s="1"/>
      <c r="J124" s="1"/>
    </row>
    <row r="125" spans="2:10" x14ac:dyDescent="0.25">
      <c r="B125" s="1"/>
      <c r="C125" s="1"/>
      <c r="D125" s="1"/>
      <c r="E125" s="1"/>
      <c r="F125" s="1"/>
      <c r="G125" s="1"/>
      <c r="H125" s="1"/>
      <c r="I125" s="1"/>
      <c r="J125" s="1"/>
    </row>
    <row r="126" spans="2:10" x14ac:dyDescent="0.25">
      <c r="B126" s="1"/>
      <c r="C126" s="1"/>
      <c r="D126" s="1"/>
      <c r="E126" s="1"/>
      <c r="F126" s="1"/>
      <c r="G126" s="1"/>
      <c r="H126" s="1"/>
      <c r="I126" s="1"/>
      <c r="J126" s="1"/>
    </row>
    <row r="127" spans="2:10" x14ac:dyDescent="0.25">
      <c r="B127" s="1"/>
      <c r="C127" s="1"/>
      <c r="D127" s="1"/>
      <c r="E127" s="1"/>
      <c r="F127" s="1"/>
      <c r="G127" s="1"/>
      <c r="H127" s="1"/>
      <c r="I127" s="1"/>
      <c r="J127" s="1"/>
    </row>
    <row r="128" spans="2:10" x14ac:dyDescent="0.25">
      <c r="B128" s="1"/>
      <c r="C128" s="1"/>
      <c r="D128" s="1"/>
      <c r="E128" s="1"/>
      <c r="F128" s="1"/>
      <c r="G128" s="1"/>
      <c r="H128" s="1"/>
      <c r="I128" s="1"/>
      <c r="J128" s="1"/>
    </row>
    <row r="129" spans="2:10" x14ac:dyDescent="0.25">
      <c r="B129" s="1"/>
      <c r="C129" s="1"/>
      <c r="D129" s="1"/>
      <c r="E129" s="1"/>
      <c r="F129" s="1"/>
      <c r="G129" s="1"/>
      <c r="H129" s="1"/>
      <c r="I129" s="1"/>
      <c r="J129" s="1"/>
    </row>
    <row r="130" spans="2:10" x14ac:dyDescent="0.25">
      <c r="B130" s="1"/>
      <c r="C130" s="1"/>
      <c r="D130" s="1"/>
      <c r="E130" s="1"/>
      <c r="F130" s="1"/>
      <c r="G130" s="1"/>
      <c r="H130" s="1"/>
      <c r="I130" s="1"/>
      <c r="J130" s="1"/>
    </row>
    <row r="131" spans="2:10" x14ac:dyDescent="0.25">
      <c r="B131" s="1"/>
      <c r="C131" s="1"/>
      <c r="D131" s="1"/>
      <c r="E131" s="1"/>
      <c r="F131" s="1"/>
      <c r="G131" s="1"/>
      <c r="H131" s="1"/>
      <c r="I131" s="1"/>
      <c r="J131" s="1"/>
    </row>
    <row r="132" spans="2:10" x14ac:dyDescent="0.25">
      <c r="B132" s="1"/>
      <c r="C132" s="1"/>
      <c r="D132" s="1"/>
      <c r="E132" s="1"/>
      <c r="F132" s="1"/>
      <c r="G132" s="1"/>
      <c r="H132" s="1"/>
      <c r="I132" s="1"/>
      <c r="J132" s="1"/>
    </row>
    <row r="133" spans="2:10" x14ac:dyDescent="0.25">
      <c r="B133" s="1"/>
      <c r="C133" s="1"/>
      <c r="D133" s="1"/>
      <c r="E133" s="1"/>
      <c r="F133" s="1"/>
      <c r="G133" s="1"/>
      <c r="H133" s="1"/>
      <c r="I133" s="1"/>
      <c r="J133" s="1"/>
    </row>
    <row r="134" spans="2:10" x14ac:dyDescent="0.25">
      <c r="B134" s="1"/>
      <c r="C134" s="1"/>
      <c r="D134" s="1"/>
      <c r="E134" s="1"/>
      <c r="F134" s="1"/>
      <c r="G134" s="1"/>
      <c r="H134" s="1"/>
      <c r="I134" s="1"/>
      <c r="J134" s="1"/>
    </row>
    <row r="135" spans="2:10" x14ac:dyDescent="0.25">
      <c r="B135" s="1"/>
      <c r="C135" s="1"/>
      <c r="D135" s="1"/>
      <c r="E135" s="1"/>
      <c r="F135" s="1"/>
      <c r="G135" s="1"/>
      <c r="H135" s="1"/>
      <c r="I135" s="1"/>
      <c r="J135" s="1"/>
    </row>
    <row r="136" spans="2:10" x14ac:dyDescent="0.25">
      <c r="B136" s="1"/>
      <c r="C136" s="1"/>
      <c r="D136" s="1"/>
      <c r="E136" s="1"/>
      <c r="F136" s="1"/>
      <c r="G136" s="1"/>
      <c r="H136" s="1"/>
      <c r="I136" s="1"/>
      <c r="J136" s="1"/>
    </row>
    <row r="137" spans="2:10" x14ac:dyDescent="0.25">
      <c r="B137" s="1"/>
      <c r="C137" s="1"/>
      <c r="D137" s="1"/>
      <c r="E137" s="1"/>
      <c r="F137" s="1"/>
      <c r="G137" s="1"/>
      <c r="H137" s="1"/>
      <c r="I137" s="1"/>
      <c r="J137" s="1"/>
    </row>
    <row r="138" spans="2:10" x14ac:dyDescent="0.25">
      <c r="B138" s="1"/>
      <c r="C138" s="1"/>
      <c r="D138" s="1"/>
      <c r="E138" s="1"/>
      <c r="F138" s="1"/>
      <c r="G138" s="1"/>
      <c r="H138" s="1"/>
      <c r="I138" s="1"/>
      <c r="J138" s="1"/>
    </row>
    <row r="139" spans="2:10" x14ac:dyDescent="0.25">
      <c r="B139" s="1"/>
      <c r="C139" s="1"/>
      <c r="D139" s="1"/>
      <c r="E139" s="1"/>
      <c r="F139" s="1"/>
      <c r="G139" s="1"/>
      <c r="H139" s="1"/>
      <c r="I139" s="1"/>
      <c r="J139" s="1"/>
    </row>
    <row r="140" spans="2:10" x14ac:dyDescent="0.25">
      <c r="B140" s="1"/>
      <c r="C140" s="1"/>
      <c r="D140" s="1"/>
      <c r="E140" s="1"/>
      <c r="F140" s="1"/>
      <c r="G140" s="1"/>
      <c r="H140" s="1"/>
      <c r="I140" s="1"/>
      <c r="J140" s="1"/>
    </row>
    <row r="141" spans="2:10" x14ac:dyDescent="0.25">
      <c r="B141" s="1"/>
      <c r="C141" s="1"/>
      <c r="D141" s="1"/>
      <c r="E141" s="1"/>
      <c r="F141" s="1"/>
      <c r="G141" s="1"/>
      <c r="H141" s="1"/>
      <c r="I141" s="1"/>
      <c r="J141" s="1"/>
    </row>
    <row r="142" spans="2:10" x14ac:dyDescent="0.25">
      <c r="B142" s="1"/>
      <c r="C142" s="1"/>
      <c r="D142" s="1"/>
      <c r="E142" s="1"/>
      <c r="F142" s="1"/>
      <c r="G142" s="1"/>
      <c r="H142" s="1"/>
      <c r="I142" s="1"/>
      <c r="J142" s="1"/>
    </row>
    <row r="143" spans="2:10" x14ac:dyDescent="0.25">
      <c r="B143" s="1"/>
      <c r="C143" s="1"/>
      <c r="D143" s="1"/>
      <c r="E143" s="1"/>
      <c r="F143" s="1"/>
      <c r="G143" s="1"/>
      <c r="H143" s="1"/>
      <c r="I143" s="1"/>
      <c r="J143" s="1"/>
    </row>
    <row r="144" spans="2:10" x14ac:dyDescent="0.25">
      <c r="B144" s="1"/>
      <c r="C144" s="1"/>
      <c r="D144" s="1"/>
      <c r="E144" s="1"/>
      <c r="F144" s="1"/>
      <c r="G144" s="1"/>
      <c r="H144" s="1"/>
      <c r="I144" s="1"/>
      <c r="J144" s="1"/>
    </row>
    <row r="145" spans="2:10" x14ac:dyDescent="0.25">
      <c r="B145" s="1"/>
      <c r="C145" s="1"/>
      <c r="D145" s="1"/>
      <c r="E145" s="1"/>
      <c r="F145" s="1"/>
      <c r="G145" s="1"/>
      <c r="H145" s="1"/>
      <c r="I145" s="1"/>
      <c r="J145" s="1"/>
    </row>
    <row r="146" spans="2:10" x14ac:dyDescent="0.25">
      <c r="B146" s="1"/>
      <c r="C146" s="1"/>
      <c r="D146" s="1"/>
      <c r="E146" s="1"/>
      <c r="F146" s="1"/>
      <c r="G146" s="1"/>
      <c r="H146" s="1"/>
      <c r="I146" s="1"/>
      <c r="J146" s="1"/>
    </row>
    <row r="147" spans="2:10" x14ac:dyDescent="0.25">
      <c r="B147" s="1"/>
      <c r="C147" s="1"/>
      <c r="D147" s="1"/>
      <c r="E147" s="1"/>
      <c r="F147" s="1"/>
      <c r="G147" s="1"/>
      <c r="H147" s="1"/>
      <c r="I147" s="1"/>
      <c r="J147" s="1"/>
    </row>
    <row r="148" spans="2:10" x14ac:dyDescent="0.25">
      <c r="B148" s="1"/>
      <c r="C148" s="1"/>
      <c r="D148" s="1"/>
      <c r="E148" s="1"/>
      <c r="F148" s="1"/>
      <c r="G148" s="1"/>
      <c r="H148" s="1"/>
      <c r="I148" s="1"/>
      <c r="J148" s="1"/>
    </row>
    <row r="149" spans="2:10" x14ac:dyDescent="0.25">
      <c r="B149" s="1"/>
      <c r="C149" s="1"/>
      <c r="D149" s="1"/>
      <c r="E149" s="1"/>
      <c r="F149" s="1"/>
      <c r="G149" s="1"/>
      <c r="H149" s="1"/>
      <c r="I149" s="1"/>
      <c r="J149" s="1"/>
    </row>
    <row r="150" spans="2:10" x14ac:dyDescent="0.25">
      <c r="B150" s="1"/>
      <c r="C150" s="1"/>
      <c r="D150" s="1"/>
      <c r="E150" s="1"/>
      <c r="F150" s="1"/>
      <c r="G150" s="1"/>
      <c r="H150" s="1"/>
      <c r="I150" s="1"/>
      <c r="J150" s="1"/>
    </row>
    <row r="151" spans="2:10" x14ac:dyDescent="0.25">
      <c r="B151" s="1"/>
      <c r="C151" s="1"/>
      <c r="D151" s="1"/>
      <c r="E151" s="1"/>
      <c r="F151" s="1"/>
      <c r="G151" s="1"/>
      <c r="H151" s="1"/>
      <c r="I151" s="1"/>
      <c r="J151" s="1"/>
    </row>
    <row r="152" spans="2:10" x14ac:dyDescent="0.25">
      <c r="B152" s="1"/>
      <c r="C152" s="1"/>
      <c r="D152" s="1"/>
      <c r="E152" s="1"/>
      <c r="F152" s="1"/>
      <c r="G152" s="1"/>
      <c r="H152" s="1"/>
      <c r="I152" s="1"/>
      <c r="J152" s="1"/>
    </row>
    <row r="153" spans="2:10" x14ac:dyDescent="0.25">
      <c r="B153" s="1"/>
      <c r="C153" s="1"/>
      <c r="D153" s="1"/>
      <c r="E153" s="1"/>
      <c r="F153" s="1"/>
      <c r="G153" s="1"/>
      <c r="H153" s="1"/>
      <c r="I153" s="1"/>
      <c r="J153" s="1"/>
    </row>
    <row r="154" spans="2:10" x14ac:dyDescent="0.25">
      <c r="B154" s="1"/>
      <c r="C154" s="1"/>
      <c r="D154" s="1"/>
      <c r="E154" s="1"/>
      <c r="F154" s="1"/>
      <c r="G154" s="1"/>
      <c r="H154" s="1"/>
      <c r="I154" s="1"/>
      <c r="J154" s="1"/>
    </row>
    <row r="155" spans="2:10" x14ac:dyDescent="0.25">
      <c r="B155" s="1"/>
      <c r="C155" s="1"/>
      <c r="D155" s="1"/>
      <c r="E155" s="1"/>
      <c r="F155" s="1"/>
      <c r="G155" s="1"/>
      <c r="H155" s="1"/>
      <c r="I155" s="1"/>
      <c r="J155" s="1"/>
    </row>
    <row r="156" spans="2:10" x14ac:dyDescent="0.25">
      <c r="B156" s="1"/>
      <c r="C156" s="1"/>
      <c r="D156" s="1"/>
      <c r="E156" s="1"/>
      <c r="F156" s="1"/>
      <c r="G156" s="1"/>
      <c r="H156" s="1"/>
      <c r="I156" s="1"/>
      <c r="J156" s="1"/>
    </row>
    <row r="157" spans="2:10" x14ac:dyDescent="0.25">
      <c r="B157" s="1"/>
      <c r="C157" s="1"/>
      <c r="D157" s="1"/>
      <c r="E157" s="1"/>
      <c r="F157" s="1"/>
      <c r="G157" s="1"/>
      <c r="H157" s="1"/>
      <c r="I157" s="1"/>
      <c r="J157" s="1"/>
    </row>
    <row r="158" spans="2:10" x14ac:dyDescent="0.25">
      <c r="B158" s="1"/>
      <c r="C158" s="1"/>
      <c r="D158" s="1"/>
      <c r="E158" s="1"/>
      <c r="F158" s="1"/>
      <c r="G158" s="1"/>
      <c r="H158" s="1"/>
      <c r="I158" s="1"/>
      <c r="J158" s="1"/>
    </row>
    <row r="159" spans="2:10" x14ac:dyDescent="0.25">
      <c r="B159" s="1"/>
      <c r="C159" s="1"/>
      <c r="D159" s="1"/>
      <c r="E159" s="1"/>
      <c r="F159" s="1"/>
      <c r="G159" s="1"/>
      <c r="H159" s="1"/>
      <c r="I159" s="1"/>
      <c r="J159" s="1"/>
    </row>
    <row r="160" spans="2:10" x14ac:dyDescent="0.25">
      <c r="B160" s="1"/>
      <c r="C160" s="1"/>
      <c r="D160" s="1"/>
      <c r="E160" s="1"/>
      <c r="F160" s="1"/>
      <c r="G160" s="1"/>
      <c r="H160" s="1"/>
      <c r="I160" s="1"/>
      <c r="J160" s="1"/>
    </row>
    <row r="161" spans="2:10" x14ac:dyDescent="0.25">
      <c r="B161" s="1"/>
      <c r="C161" s="1"/>
      <c r="D161" s="1"/>
      <c r="E161" s="1"/>
      <c r="F161" s="1"/>
      <c r="G161" s="1"/>
      <c r="H161" s="1"/>
      <c r="I161" s="1"/>
      <c r="J161" s="1"/>
    </row>
    <row r="162" spans="2:10" x14ac:dyDescent="0.25">
      <c r="B162" s="1"/>
      <c r="C162" s="1"/>
      <c r="D162" s="1"/>
      <c r="E162" s="1"/>
      <c r="F162" s="1"/>
      <c r="G162" s="1"/>
      <c r="H162" s="1"/>
      <c r="I162" s="1"/>
      <c r="J162" s="1"/>
    </row>
    <row r="163" spans="2:10" x14ac:dyDescent="0.25">
      <c r="B163" s="1"/>
      <c r="C163" s="1"/>
      <c r="D163" s="1"/>
      <c r="E163" s="1"/>
      <c r="F163" s="1"/>
      <c r="G163" s="1"/>
      <c r="H163" s="1"/>
      <c r="I163" s="1"/>
      <c r="J163" s="1"/>
    </row>
    <row r="164" spans="2:10" x14ac:dyDescent="0.25">
      <c r="B164" s="1"/>
      <c r="C164" s="1"/>
      <c r="D164" s="1"/>
      <c r="E164" s="1"/>
      <c r="F164" s="1"/>
      <c r="G164" s="1"/>
      <c r="H164" s="1"/>
      <c r="I164" s="1"/>
      <c r="J164" s="1"/>
    </row>
    <row r="165" spans="2:10" x14ac:dyDescent="0.25">
      <c r="B165" s="1"/>
      <c r="C165" s="1"/>
      <c r="D165" s="1"/>
      <c r="E165" s="1"/>
      <c r="F165" s="1"/>
      <c r="G165" s="1"/>
      <c r="H165" s="1"/>
      <c r="I165" s="1"/>
      <c r="J165" s="1"/>
    </row>
    <row r="166" spans="2:10" x14ac:dyDescent="0.25">
      <c r="B166" s="1"/>
      <c r="C166" s="1"/>
      <c r="D166" s="1"/>
      <c r="E166" s="1"/>
      <c r="F166" s="1"/>
      <c r="G166" s="1"/>
      <c r="H166" s="1"/>
      <c r="I166" s="1"/>
      <c r="J166" s="1"/>
    </row>
    <row r="167" spans="2:10" x14ac:dyDescent="0.25">
      <c r="B167" s="1"/>
      <c r="C167" s="1"/>
      <c r="D167" s="1"/>
      <c r="E167" s="1"/>
      <c r="F167" s="1"/>
      <c r="G167" s="1"/>
      <c r="H167" s="1"/>
      <c r="I167" s="1"/>
      <c r="J167" s="1"/>
    </row>
    <row r="168" spans="2:10" x14ac:dyDescent="0.25">
      <c r="B168" s="1"/>
      <c r="C168" s="1"/>
      <c r="D168" s="1"/>
      <c r="E168" s="1"/>
      <c r="F168" s="1"/>
      <c r="G168" s="1"/>
      <c r="H168" s="1"/>
      <c r="I168" s="1"/>
      <c r="J168" s="1"/>
    </row>
    <row r="169" spans="2:10" x14ac:dyDescent="0.25">
      <c r="B169" s="1"/>
      <c r="C169" s="1"/>
      <c r="D169" s="1"/>
      <c r="E169" s="1"/>
      <c r="F169" s="1"/>
      <c r="G169" s="1"/>
      <c r="H169" s="1"/>
      <c r="I169" s="1"/>
      <c r="J169" s="1"/>
    </row>
    <row r="170" spans="2:10" x14ac:dyDescent="0.25">
      <c r="B170" s="1"/>
      <c r="C170" s="1"/>
      <c r="D170" s="1"/>
      <c r="E170" s="1"/>
      <c r="F170" s="1"/>
      <c r="G170" s="1"/>
      <c r="H170" s="1"/>
      <c r="I170" s="1"/>
      <c r="J170" s="1"/>
    </row>
    <row r="171" spans="2:10" x14ac:dyDescent="0.25">
      <c r="B171" s="1"/>
      <c r="C171" s="1"/>
      <c r="D171" s="1"/>
      <c r="E171" s="1"/>
      <c r="F171" s="1"/>
      <c r="G171" s="1"/>
      <c r="H171" s="1"/>
      <c r="I171" s="1"/>
      <c r="J171" s="1"/>
    </row>
    <row r="172" spans="2:10" x14ac:dyDescent="0.25">
      <c r="B172" s="1"/>
      <c r="C172" s="1"/>
      <c r="D172" s="1"/>
      <c r="E172" s="1"/>
      <c r="F172" s="1"/>
      <c r="G172" s="1"/>
      <c r="H172" s="1"/>
      <c r="I172" s="1"/>
      <c r="J172" s="1"/>
    </row>
    <row r="173" spans="2:10" x14ac:dyDescent="0.25">
      <c r="B173" s="1"/>
      <c r="C173" s="1"/>
      <c r="D173" s="1"/>
      <c r="E173" s="1"/>
      <c r="F173" s="1"/>
      <c r="G173" s="1"/>
      <c r="H173" s="1"/>
      <c r="I173" s="1"/>
      <c r="J173" s="1"/>
    </row>
    <row r="174" spans="2:10" x14ac:dyDescent="0.25">
      <c r="B174" s="1"/>
      <c r="C174" s="1"/>
      <c r="D174" s="1"/>
      <c r="E174" s="1"/>
      <c r="F174" s="1"/>
      <c r="G174" s="1"/>
      <c r="H174" s="1"/>
      <c r="I174" s="1"/>
      <c r="J174" s="1"/>
    </row>
    <row r="175" spans="2:10" x14ac:dyDescent="0.25">
      <c r="B175" s="1"/>
      <c r="C175" s="1"/>
      <c r="D175" s="1"/>
      <c r="E175" s="1"/>
      <c r="F175" s="1"/>
      <c r="G175" s="1"/>
      <c r="H175" s="1"/>
      <c r="I175" s="1"/>
      <c r="J175" s="1"/>
    </row>
    <row r="176" spans="2:10" x14ac:dyDescent="0.25">
      <c r="B176" s="1"/>
      <c r="C176" s="1"/>
      <c r="D176" s="1"/>
      <c r="E176" s="1"/>
      <c r="F176" s="1"/>
      <c r="G176" s="1"/>
      <c r="H176" s="1"/>
      <c r="I176" s="1"/>
      <c r="J176" s="1"/>
    </row>
    <row r="177" spans="2:10" x14ac:dyDescent="0.25">
      <c r="B177" s="1"/>
      <c r="C177" s="1"/>
      <c r="D177" s="1"/>
      <c r="E177" s="1"/>
      <c r="F177" s="1"/>
      <c r="G177" s="1"/>
      <c r="H177" s="1"/>
      <c r="I177" s="1"/>
      <c r="J177" s="1"/>
    </row>
    <row r="178" spans="2:10" x14ac:dyDescent="0.25">
      <c r="B178" s="1"/>
      <c r="C178" s="1"/>
      <c r="D178" s="1"/>
      <c r="E178" s="1"/>
      <c r="F178" s="1"/>
      <c r="G178" s="1"/>
      <c r="H178" s="1"/>
      <c r="I178" s="1"/>
      <c r="J178" s="1"/>
    </row>
    <row r="179" spans="2:10" x14ac:dyDescent="0.25">
      <c r="B179" s="1"/>
      <c r="C179" s="1"/>
      <c r="D179" s="1"/>
      <c r="E179" s="1"/>
      <c r="F179" s="1"/>
      <c r="G179" s="1"/>
      <c r="H179" s="1"/>
      <c r="I179" s="1"/>
      <c r="J179" s="1"/>
    </row>
    <row r="180" spans="2:10" x14ac:dyDescent="0.25">
      <c r="B180" s="1"/>
      <c r="C180" s="1"/>
      <c r="D180" s="1"/>
      <c r="E180" s="1"/>
      <c r="F180" s="1"/>
      <c r="G180" s="1"/>
      <c r="H180" s="1"/>
      <c r="I180" s="1"/>
      <c r="J180" s="1"/>
    </row>
    <row r="181" spans="2:10" x14ac:dyDescent="0.25">
      <c r="B181" s="1"/>
      <c r="C181" s="1"/>
      <c r="D181" s="1"/>
      <c r="E181" s="1"/>
      <c r="F181" s="1"/>
      <c r="G181" s="1"/>
      <c r="H181" s="1"/>
      <c r="I181" s="1"/>
      <c r="J181" s="1"/>
    </row>
    <row r="182" spans="2:10" x14ac:dyDescent="0.25">
      <c r="B182" s="1"/>
      <c r="C182" s="1"/>
      <c r="D182" s="1"/>
      <c r="E182" s="1"/>
      <c r="F182" s="1"/>
      <c r="G182" s="1"/>
      <c r="H182" s="1"/>
      <c r="I182" s="1"/>
      <c r="J182" s="1"/>
    </row>
    <row r="183" spans="2:10" x14ac:dyDescent="0.25">
      <c r="B183" s="1"/>
      <c r="C183" s="1"/>
      <c r="D183" s="1"/>
      <c r="E183" s="1"/>
      <c r="F183" s="1"/>
      <c r="G183" s="1"/>
      <c r="H183" s="1"/>
      <c r="I183" s="1"/>
      <c r="J183" s="1"/>
    </row>
    <row r="184" spans="2:10" x14ac:dyDescent="0.25">
      <c r="B184" s="1"/>
      <c r="C184" s="1"/>
      <c r="D184" s="1"/>
      <c r="E184" s="1"/>
      <c r="F184" s="1"/>
      <c r="G184" s="1"/>
      <c r="H184" s="1"/>
      <c r="I184" s="1"/>
      <c r="J184" s="1"/>
    </row>
    <row r="185" spans="2:10" x14ac:dyDescent="0.25">
      <c r="B185" s="1"/>
      <c r="C185" s="1"/>
      <c r="D185" s="1"/>
      <c r="E185" s="1"/>
      <c r="F185" s="1"/>
      <c r="G185" s="1"/>
      <c r="H185" s="1"/>
      <c r="I185" s="1"/>
      <c r="J185" s="1"/>
    </row>
    <row r="186" spans="2:10" x14ac:dyDescent="0.25">
      <c r="B186" s="1"/>
      <c r="C186" s="1"/>
      <c r="D186" s="1"/>
      <c r="E186" s="1"/>
      <c r="F186" s="1"/>
      <c r="G186" s="1"/>
      <c r="H186" s="1"/>
      <c r="I186" s="1"/>
      <c r="J186" s="1"/>
    </row>
    <row r="187" spans="2:10" x14ac:dyDescent="0.25">
      <c r="B187" s="1"/>
      <c r="C187" s="1"/>
      <c r="D187" s="1"/>
      <c r="E187" s="1"/>
      <c r="F187" s="1"/>
      <c r="G187" s="1"/>
      <c r="H187" s="1"/>
      <c r="I187" s="1"/>
      <c r="J187" s="1"/>
    </row>
    <row r="188" spans="2:10" x14ac:dyDescent="0.25">
      <c r="B188" s="1"/>
      <c r="C188" s="1"/>
      <c r="D188" s="1"/>
      <c r="E188" s="1"/>
      <c r="F188" s="1"/>
      <c r="G188" s="1"/>
      <c r="H188" s="1"/>
      <c r="I188" s="1"/>
      <c r="J188" s="1"/>
    </row>
    <row r="189" spans="2:10" x14ac:dyDescent="0.25">
      <c r="B189" s="1"/>
      <c r="C189" s="1"/>
      <c r="D189" s="1"/>
      <c r="E189" s="1"/>
      <c r="F189" s="1"/>
      <c r="G189" s="1"/>
      <c r="H189" s="1"/>
      <c r="I189" s="1"/>
      <c r="J189" s="1"/>
    </row>
    <row r="190" spans="2:10" x14ac:dyDescent="0.25">
      <c r="B190" s="1"/>
      <c r="C190" s="1"/>
      <c r="D190" s="1"/>
      <c r="E190" s="1"/>
      <c r="F190" s="1"/>
      <c r="G190" s="1"/>
      <c r="H190" s="1"/>
      <c r="I190" s="1"/>
      <c r="J190" s="1"/>
    </row>
    <row r="191" spans="2:10" x14ac:dyDescent="0.25">
      <c r="B191" s="1"/>
      <c r="C191" s="1"/>
      <c r="D191" s="1"/>
      <c r="E191" s="1"/>
      <c r="F191" s="1"/>
      <c r="G191" s="1"/>
      <c r="H191" s="1"/>
      <c r="I191" s="1"/>
      <c r="J191" s="1"/>
    </row>
    <row r="192" spans="2:10" x14ac:dyDescent="0.25">
      <c r="B192" s="1"/>
      <c r="C192" s="1"/>
      <c r="D192" s="1"/>
      <c r="E192" s="1"/>
      <c r="F192" s="1"/>
      <c r="G192" s="1"/>
      <c r="H192" s="1"/>
      <c r="I192" s="1"/>
      <c r="J192" s="1"/>
    </row>
    <row r="193" spans="2:10" x14ac:dyDescent="0.25">
      <c r="B193" s="1"/>
      <c r="C193" s="1"/>
      <c r="D193" s="1"/>
      <c r="E193" s="1"/>
      <c r="F193" s="1"/>
      <c r="G193" s="1"/>
      <c r="H193" s="1"/>
      <c r="I193" s="1"/>
      <c r="J193" s="1"/>
    </row>
    <row r="194" spans="2:10" x14ac:dyDescent="0.25">
      <c r="B194" s="1"/>
      <c r="C194" s="1"/>
      <c r="D194" s="1"/>
      <c r="E194" s="1"/>
      <c r="F194" s="1"/>
      <c r="G194" s="1"/>
      <c r="H194" s="1"/>
      <c r="I194" s="1"/>
      <c r="J194" s="1"/>
    </row>
    <row r="195" spans="2:10" x14ac:dyDescent="0.25">
      <c r="B195" s="1"/>
      <c r="C195" s="1"/>
      <c r="D195" s="1"/>
      <c r="E195" s="1"/>
      <c r="F195" s="1"/>
      <c r="G195" s="1"/>
      <c r="H195" s="1"/>
      <c r="I195" s="1"/>
      <c r="J195" s="1"/>
    </row>
    <row r="196" spans="2:10" x14ac:dyDescent="0.25">
      <c r="B196" s="1"/>
      <c r="C196" s="1"/>
      <c r="D196" s="1"/>
      <c r="E196" s="1"/>
      <c r="F196" s="1"/>
      <c r="G196" s="1"/>
      <c r="H196" s="1"/>
      <c r="I196" s="1"/>
      <c r="J196" s="1"/>
    </row>
    <row r="197" spans="2:10" x14ac:dyDescent="0.25">
      <c r="B197" s="1"/>
      <c r="C197" s="1"/>
      <c r="D197" s="1"/>
      <c r="E197" s="1"/>
      <c r="F197" s="1"/>
      <c r="G197" s="1"/>
      <c r="H197" s="1"/>
      <c r="I197" s="1"/>
      <c r="J197" s="1"/>
    </row>
    <row r="198" spans="2:10" x14ac:dyDescent="0.25">
      <c r="B198" s="1"/>
      <c r="C198" s="1"/>
      <c r="D198" s="1"/>
      <c r="E198" s="1"/>
      <c r="F198" s="1"/>
      <c r="G198" s="1"/>
      <c r="H198" s="1"/>
      <c r="I198" s="1"/>
      <c r="J198" s="1"/>
    </row>
    <row r="199" spans="2:10" x14ac:dyDescent="0.25">
      <c r="B199" s="1"/>
      <c r="C199" s="1"/>
      <c r="D199" s="1"/>
      <c r="E199" s="1"/>
      <c r="F199" s="1"/>
      <c r="G199" s="1"/>
      <c r="H199" s="1"/>
      <c r="I199" s="1"/>
      <c r="J199" s="1"/>
    </row>
    <row r="200" spans="2:10" x14ac:dyDescent="0.25">
      <c r="B200" s="1"/>
      <c r="C200" s="1"/>
      <c r="D200" s="1"/>
      <c r="E200" s="1"/>
      <c r="F200" s="1"/>
      <c r="G200" s="1"/>
      <c r="H200" s="1"/>
      <c r="I200" s="1"/>
      <c r="J200" s="1"/>
    </row>
    <row r="201" spans="2:10" x14ac:dyDescent="0.25">
      <c r="B201" s="1"/>
      <c r="C201" s="1"/>
      <c r="D201" s="1"/>
      <c r="E201" s="1"/>
      <c r="F201" s="1"/>
      <c r="G201" s="1"/>
      <c r="H201" s="1"/>
      <c r="I201" s="1"/>
      <c r="J201" s="1"/>
    </row>
    <row r="202" spans="2:10" x14ac:dyDescent="0.25">
      <c r="B202" s="1"/>
      <c r="C202" s="1"/>
      <c r="D202" s="1"/>
      <c r="E202" s="1"/>
      <c r="F202" s="1"/>
      <c r="G202" s="1"/>
      <c r="H202" s="1"/>
      <c r="I202" s="1"/>
      <c r="J202" s="1"/>
    </row>
    <row r="203" spans="2:10" x14ac:dyDescent="0.25">
      <c r="B203" s="1"/>
      <c r="C203" s="1"/>
      <c r="D203" s="1"/>
      <c r="E203" s="1"/>
      <c r="F203" s="1"/>
      <c r="G203" s="1"/>
      <c r="H203" s="1"/>
      <c r="I203" s="1"/>
      <c r="J203" s="1"/>
    </row>
    <row r="204" spans="2:10" x14ac:dyDescent="0.25">
      <c r="B204" s="1"/>
      <c r="C204" s="1"/>
      <c r="D204" s="1"/>
      <c r="E204" s="1"/>
      <c r="F204" s="1"/>
      <c r="G204" s="1"/>
      <c r="H204" s="1"/>
      <c r="I204" s="1"/>
      <c r="J204" s="1"/>
    </row>
    <row r="205" spans="2:10" x14ac:dyDescent="0.25">
      <c r="B205" s="1"/>
      <c r="C205" s="1"/>
      <c r="D205" s="1"/>
      <c r="E205" s="1"/>
      <c r="F205" s="1"/>
      <c r="G205" s="1"/>
      <c r="H205" s="1"/>
      <c r="I205" s="1"/>
      <c r="J205" s="1"/>
    </row>
    <row r="206" spans="2:10" x14ac:dyDescent="0.25">
      <c r="B206" s="1"/>
      <c r="C206" s="1"/>
      <c r="D206" s="1"/>
      <c r="E206" s="1"/>
      <c r="F206" s="1"/>
      <c r="G206" s="1"/>
      <c r="H206" s="1"/>
      <c r="I206" s="1"/>
      <c r="J206" s="1"/>
    </row>
    <row r="207" spans="2:10" x14ac:dyDescent="0.25">
      <c r="B207" s="1"/>
      <c r="C207" s="1"/>
      <c r="D207" s="1"/>
      <c r="E207" s="1"/>
      <c r="F207" s="1"/>
      <c r="G207" s="1"/>
      <c r="H207" s="1"/>
      <c r="I207" s="1"/>
      <c r="J207" s="1"/>
    </row>
    <row r="208" spans="2:10" x14ac:dyDescent="0.25">
      <c r="B208" s="1"/>
      <c r="C208" s="1"/>
      <c r="D208" s="1"/>
      <c r="E208" s="1"/>
      <c r="F208" s="1"/>
      <c r="G208" s="1"/>
      <c r="H208" s="1"/>
      <c r="I208" s="1"/>
      <c r="J208" s="1"/>
    </row>
    <row r="209" spans="2:10" x14ac:dyDescent="0.25">
      <c r="B209" s="1"/>
      <c r="C209" s="1"/>
      <c r="D209" s="1"/>
      <c r="E209" s="1"/>
      <c r="F209" s="1"/>
      <c r="G209" s="1"/>
      <c r="H209" s="1"/>
      <c r="I209" s="1"/>
      <c r="J209" s="1"/>
    </row>
    <row r="210" spans="2:10" x14ac:dyDescent="0.25">
      <c r="B210" s="1"/>
      <c r="C210" s="1"/>
      <c r="D210" s="1"/>
      <c r="E210" s="1"/>
      <c r="F210" s="1"/>
      <c r="G210" s="1"/>
      <c r="H210" s="1"/>
      <c r="I210" s="1"/>
      <c r="J210" s="1"/>
    </row>
    <row r="211" spans="2:10" x14ac:dyDescent="0.25">
      <c r="B211" s="1"/>
      <c r="C211" s="1"/>
      <c r="D211" s="1"/>
      <c r="E211" s="1"/>
      <c r="F211" s="1"/>
      <c r="G211" s="1"/>
      <c r="H211" s="1"/>
      <c r="I211" s="1"/>
      <c r="J211" s="1"/>
    </row>
    <row r="212" spans="2:10" x14ac:dyDescent="0.25">
      <c r="B212" s="1"/>
      <c r="C212" s="1"/>
      <c r="D212" s="1"/>
      <c r="E212" s="1"/>
      <c r="F212" s="1"/>
      <c r="G212" s="1"/>
      <c r="H212" s="1"/>
      <c r="I212" s="1"/>
      <c r="J212" s="1"/>
    </row>
    <row r="213" spans="2:10" x14ac:dyDescent="0.25">
      <c r="B213" s="1"/>
      <c r="C213" s="1"/>
      <c r="D213" s="1"/>
      <c r="E213" s="1"/>
      <c r="F213" s="1"/>
      <c r="G213" s="1"/>
      <c r="H213" s="1"/>
      <c r="I213" s="1"/>
      <c r="J213" s="1"/>
    </row>
    <row r="214" spans="2:10" x14ac:dyDescent="0.25">
      <c r="B214" s="1"/>
      <c r="C214" s="1"/>
      <c r="D214" s="1"/>
      <c r="E214" s="1"/>
      <c r="F214" s="1"/>
      <c r="G214" s="1"/>
      <c r="H214" s="1"/>
      <c r="I214" s="1"/>
      <c r="J214" s="1"/>
    </row>
    <row r="215" spans="2:10" x14ac:dyDescent="0.25">
      <c r="B215" s="1"/>
      <c r="C215" s="1"/>
      <c r="D215" s="1"/>
      <c r="E215" s="1"/>
      <c r="F215" s="1"/>
      <c r="G215" s="1"/>
      <c r="H215" s="1"/>
      <c r="I215" s="1"/>
      <c r="J215" s="1"/>
    </row>
    <row r="216" spans="2:10" x14ac:dyDescent="0.25">
      <c r="B216" s="1"/>
      <c r="C216" s="1"/>
      <c r="D216" s="1"/>
      <c r="E216" s="1"/>
      <c r="F216" s="1"/>
      <c r="G216" s="1"/>
      <c r="H216" s="1"/>
      <c r="I216" s="1"/>
      <c r="J216" s="1"/>
    </row>
    <row r="217" spans="2:10" x14ac:dyDescent="0.25">
      <c r="B217" s="1"/>
      <c r="C217" s="1"/>
      <c r="D217" s="1"/>
      <c r="E217" s="1"/>
      <c r="F217" s="1"/>
      <c r="G217" s="1"/>
      <c r="H217" s="1"/>
      <c r="I217" s="1"/>
      <c r="J217" s="1"/>
    </row>
    <row r="218" spans="2:10" x14ac:dyDescent="0.25">
      <c r="B218" s="1"/>
      <c r="C218" s="1"/>
      <c r="D218" s="1"/>
      <c r="E218" s="1"/>
      <c r="F218" s="1"/>
      <c r="G218" s="1"/>
      <c r="H218" s="1"/>
      <c r="I218" s="1"/>
      <c r="J218" s="1"/>
    </row>
    <row r="219" spans="2:10" x14ac:dyDescent="0.25">
      <c r="B219" s="1"/>
      <c r="C219" s="1"/>
      <c r="D219" s="1"/>
      <c r="E219" s="1"/>
      <c r="F219" s="1"/>
      <c r="G219" s="1"/>
      <c r="H219" s="1"/>
      <c r="I219" s="1"/>
      <c r="J219" s="1"/>
    </row>
    <row r="220" spans="2:10" x14ac:dyDescent="0.25">
      <c r="B220" s="1"/>
      <c r="C220" s="1"/>
      <c r="D220" s="1"/>
      <c r="E220" s="1"/>
      <c r="F220" s="1"/>
      <c r="G220" s="1"/>
      <c r="H220" s="1"/>
      <c r="I220" s="1"/>
      <c r="J220" s="1"/>
    </row>
    <row r="221" spans="2:10" x14ac:dyDescent="0.25">
      <c r="B221" s="1"/>
      <c r="C221" s="1"/>
      <c r="D221" s="1"/>
      <c r="E221" s="1"/>
      <c r="F221" s="1"/>
      <c r="G221" s="1"/>
      <c r="H221" s="1"/>
      <c r="I221" s="1"/>
      <c r="J221" s="1"/>
    </row>
    <row r="222" spans="2:10" x14ac:dyDescent="0.25">
      <c r="B222" s="1"/>
      <c r="C222" s="1"/>
      <c r="D222" s="1"/>
      <c r="E222" s="1"/>
      <c r="F222" s="1"/>
      <c r="G222" s="1"/>
      <c r="H222" s="1"/>
      <c r="I222" s="1"/>
      <c r="J222" s="1"/>
    </row>
    <row r="223" spans="2:10" x14ac:dyDescent="0.25">
      <c r="B223" s="1"/>
      <c r="C223" s="1"/>
      <c r="D223" s="1"/>
      <c r="E223" s="1"/>
      <c r="F223" s="1"/>
      <c r="G223" s="1"/>
      <c r="H223" s="1"/>
      <c r="I223" s="1"/>
      <c r="J223" s="1"/>
    </row>
    <row r="224" spans="2:10" x14ac:dyDescent="0.25">
      <c r="B224" s="1"/>
      <c r="C224" s="1"/>
      <c r="D224" s="1"/>
      <c r="E224" s="1"/>
      <c r="F224" s="1"/>
      <c r="G224" s="1"/>
      <c r="H224" s="1"/>
      <c r="I224" s="1"/>
      <c r="J224" s="1"/>
    </row>
    <row r="225" spans="2:10" x14ac:dyDescent="0.25">
      <c r="B225" s="1"/>
      <c r="C225" s="1"/>
      <c r="D225" s="1"/>
      <c r="E225" s="1"/>
      <c r="F225" s="1"/>
      <c r="G225" s="1"/>
      <c r="H225" s="1"/>
      <c r="I225" s="1"/>
      <c r="J225" s="1"/>
    </row>
    <row r="226" spans="2:10" x14ac:dyDescent="0.25">
      <c r="B226" s="1"/>
      <c r="C226" s="1"/>
      <c r="D226" s="1"/>
      <c r="E226" s="1"/>
      <c r="F226" s="1"/>
      <c r="G226" s="1"/>
      <c r="H226" s="1"/>
      <c r="I226" s="1"/>
      <c r="J226" s="1"/>
    </row>
    <row r="227" spans="2:10" x14ac:dyDescent="0.25">
      <c r="B227" s="1"/>
      <c r="C227" s="1"/>
      <c r="D227" s="1"/>
      <c r="E227" s="1"/>
      <c r="F227" s="1"/>
      <c r="G227" s="1"/>
      <c r="H227" s="1"/>
      <c r="I227" s="1"/>
      <c r="J227" s="1"/>
    </row>
    <row r="228" spans="2:10" x14ac:dyDescent="0.25">
      <c r="B228" s="1"/>
      <c r="C228" s="1"/>
      <c r="D228" s="1"/>
      <c r="E228" s="1"/>
      <c r="F228" s="1"/>
      <c r="G228" s="1"/>
      <c r="H228" s="1"/>
      <c r="I228" s="1"/>
      <c r="J228" s="1"/>
    </row>
    <row r="229" spans="2:10" x14ac:dyDescent="0.25">
      <c r="B229" s="1"/>
      <c r="C229" s="1"/>
      <c r="D229" s="1"/>
      <c r="E229" s="1"/>
      <c r="F229" s="1"/>
      <c r="G229" s="1"/>
      <c r="H229" s="1"/>
      <c r="I229" s="1"/>
      <c r="J229" s="1"/>
    </row>
    <row r="230" spans="2:10" x14ac:dyDescent="0.25">
      <c r="B230" s="1"/>
      <c r="C230" s="1"/>
      <c r="D230" s="1"/>
      <c r="E230" s="1"/>
      <c r="F230" s="1"/>
      <c r="G230" s="1"/>
      <c r="H230" s="1"/>
      <c r="I230" s="1"/>
      <c r="J230" s="1"/>
    </row>
    <row r="231" spans="2:10" x14ac:dyDescent="0.25">
      <c r="B231" s="1"/>
      <c r="C231" s="1"/>
      <c r="D231" s="1"/>
      <c r="E231" s="1"/>
      <c r="F231" s="1"/>
      <c r="G231" s="1"/>
      <c r="H231" s="1"/>
      <c r="I231" s="1"/>
      <c r="J231" s="1"/>
    </row>
  </sheetData>
  <mergeCells count="6">
    <mergeCell ref="B121:I121"/>
    <mergeCell ref="B1:I1"/>
    <mergeCell ref="C5:F5"/>
    <mergeCell ref="G5:G6"/>
    <mergeCell ref="H5:H6"/>
    <mergeCell ref="I5:I6"/>
  </mergeCells>
  <pageMargins left="0.7" right="0.7" top="0.75" bottom="0.75" header="0.3" footer="0.3"/>
  <pageSetup paperSize="5" scale="39" orientation="landscape" r:id="rId1"/>
  <headerFooter>
    <oddFooter>&amp;L&amp;F&amp;C-Public-&amp;RA-&amp;P</oddFooter>
  </headerFooter>
  <ignoredErrors>
    <ignoredError sqref="C54:C75 C36 C8:C35 C37:C42 C82:C85 C76:C81 C86 D32 D54:D75 D34:D41 D42 C45:C47 D17:D29 D82 D83:D86 D76:D79 D8:D9" formulaRange="1"/>
    <ignoredError sqref="G4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C8E6-1495-4826-91EA-51161A3CC019}">
  <sheetPr>
    <pageSetUpPr fitToPage="1"/>
  </sheetPr>
  <dimension ref="A1:L363"/>
  <sheetViews>
    <sheetView showGridLines="0" view="pageBreakPreview" zoomScale="60" zoomScaleNormal="80" zoomScalePageLayoutView="60" workbookViewId="0">
      <selection activeCell="B1" sqref="B1:L1"/>
    </sheetView>
  </sheetViews>
  <sheetFormatPr defaultRowHeight="15" x14ac:dyDescent="0.25"/>
  <cols>
    <col min="1" max="1" width="1.5703125" customWidth="1"/>
    <col min="2" max="2" width="52.28515625" customWidth="1"/>
    <col min="3" max="3" width="20.140625" bestFit="1" customWidth="1"/>
    <col min="4" max="4" width="14.7109375" bestFit="1" customWidth="1"/>
    <col min="5" max="5" width="28" bestFit="1" customWidth="1"/>
    <col min="6" max="6" width="38.42578125" bestFit="1" customWidth="1"/>
    <col min="7" max="7" width="44.85546875" bestFit="1" customWidth="1"/>
    <col min="8" max="8" width="22.28515625" bestFit="1" customWidth="1"/>
    <col min="9" max="9" width="26.7109375" bestFit="1" customWidth="1"/>
    <col min="10" max="10" width="21.42578125" bestFit="1" customWidth="1"/>
    <col min="11" max="11" width="33.42578125" bestFit="1" customWidth="1"/>
    <col min="12" max="12" width="18.42578125" customWidth="1"/>
  </cols>
  <sheetData>
    <row r="1" spans="1:12" ht="40.5" customHeight="1" x14ac:dyDescent="0.25">
      <c r="B1" s="229" t="s">
        <v>170</v>
      </c>
      <c r="C1" s="230"/>
      <c r="D1" s="230"/>
      <c r="E1" s="230"/>
      <c r="F1" s="230"/>
      <c r="G1" s="230"/>
      <c r="H1" s="230"/>
      <c r="I1" s="230"/>
      <c r="J1" s="230"/>
      <c r="K1" s="230"/>
      <c r="L1" s="230"/>
    </row>
    <row r="2" spans="1:12" x14ac:dyDescent="0.25">
      <c r="B2" s="2" t="s">
        <v>51</v>
      </c>
      <c r="C2" s="1"/>
      <c r="D2" s="1"/>
      <c r="E2" s="1"/>
      <c r="F2" s="1"/>
      <c r="G2" s="1"/>
      <c r="H2" s="1"/>
      <c r="I2" s="1"/>
      <c r="J2" s="1"/>
      <c r="K2" s="1"/>
      <c r="L2" s="1"/>
    </row>
    <row r="3" spans="1:12" x14ac:dyDescent="0.25">
      <c r="B3" s="2" t="s">
        <v>171</v>
      </c>
      <c r="C3" s="1"/>
      <c r="D3" s="1"/>
      <c r="E3" s="1"/>
      <c r="F3" s="1"/>
      <c r="G3" s="1"/>
      <c r="H3" s="1"/>
      <c r="I3" s="1"/>
      <c r="J3" s="1"/>
      <c r="K3" s="1"/>
      <c r="L3" s="1"/>
    </row>
    <row r="4" spans="1:12" x14ac:dyDescent="0.25">
      <c r="B4" s="2"/>
      <c r="C4" s="2"/>
      <c r="D4" s="1"/>
      <c r="E4" s="1"/>
      <c r="F4" s="1"/>
      <c r="G4" s="1"/>
      <c r="H4" s="1"/>
      <c r="I4" s="1"/>
      <c r="J4" s="1"/>
      <c r="K4" s="1"/>
      <c r="L4" s="1"/>
    </row>
    <row r="5" spans="1:12" ht="15.75" x14ac:dyDescent="0.25">
      <c r="A5" s="104"/>
      <c r="B5" s="105" t="s">
        <v>172</v>
      </c>
      <c r="C5" s="105" t="s">
        <v>173</v>
      </c>
      <c r="D5" s="105" t="s">
        <v>127</v>
      </c>
      <c r="E5" s="105" t="s">
        <v>174</v>
      </c>
      <c r="F5" s="105" t="s">
        <v>175</v>
      </c>
      <c r="G5" s="19" t="s">
        <v>176</v>
      </c>
      <c r="H5" s="105" t="s">
        <v>177</v>
      </c>
      <c r="I5" s="105" t="s">
        <v>178</v>
      </c>
      <c r="J5" s="105" t="s">
        <v>179</v>
      </c>
      <c r="K5" s="19" t="s">
        <v>180</v>
      </c>
    </row>
    <row r="6" spans="1:12" x14ac:dyDescent="0.25">
      <c r="A6" s="104">
        <v>1</v>
      </c>
      <c r="B6" s="187" t="s">
        <v>186</v>
      </c>
      <c r="C6" s="188">
        <v>1</v>
      </c>
      <c r="D6" s="189">
        <v>44929</v>
      </c>
      <c r="E6" s="188" t="s">
        <v>187</v>
      </c>
      <c r="F6" s="268"/>
      <c r="G6" s="188" t="s">
        <v>188</v>
      </c>
      <c r="H6" s="188" t="s">
        <v>189</v>
      </c>
      <c r="I6" s="191">
        <v>0.625</v>
      </c>
      <c r="J6" s="191">
        <v>0.875</v>
      </c>
      <c r="K6" s="192">
        <f>J6-I6</f>
        <v>0.25</v>
      </c>
    </row>
    <row r="7" spans="1:12" x14ac:dyDescent="0.25">
      <c r="A7" s="104"/>
      <c r="B7" s="187" t="s">
        <v>186</v>
      </c>
      <c r="C7" s="188">
        <v>2</v>
      </c>
      <c r="D7" s="189">
        <v>44930</v>
      </c>
      <c r="E7" s="188" t="s">
        <v>187</v>
      </c>
      <c r="F7" s="268"/>
      <c r="G7" s="188" t="s">
        <v>188</v>
      </c>
      <c r="H7" s="188" t="s">
        <v>189</v>
      </c>
      <c r="I7" s="191">
        <v>0.625</v>
      </c>
      <c r="J7" s="191">
        <v>0.875</v>
      </c>
      <c r="K7" s="192">
        <f t="shared" ref="K7:K18" si="0">(J7-I7)+K6</f>
        <v>0.5</v>
      </c>
    </row>
    <row r="8" spans="1:12" x14ac:dyDescent="0.25">
      <c r="A8" s="104"/>
      <c r="B8" s="187" t="s">
        <v>186</v>
      </c>
      <c r="C8" s="188">
        <v>3</v>
      </c>
      <c r="D8" s="189">
        <v>44931</v>
      </c>
      <c r="E8" s="188" t="s">
        <v>187</v>
      </c>
      <c r="F8" s="268"/>
      <c r="G8" s="188" t="s">
        <v>188</v>
      </c>
      <c r="H8" s="188" t="s">
        <v>189</v>
      </c>
      <c r="I8" s="191">
        <v>0.625</v>
      </c>
      <c r="J8" s="191">
        <v>0.875</v>
      </c>
      <c r="K8" s="192">
        <f t="shared" si="0"/>
        <v>0.75</v>
      </c>
    </row>
    <row r="9" spans="1:12" x14ac:dyDescent="0.25">
      <c r="A9" s="104"/>
      <c r="B9" s="187" t="s">
        <v>186</v>
      </c>
      <c r="C9" s="188">
        <v>4</v>
      </c>
      <c r="D9" s="189">
        <v>44932</v>
      </c>
      <c r="E9" s="188" t="s">
        <v>187</v>
      </c>
      <c r="F9" s="268"/>
      <c r="G9" s="188" t="s">
        <v>188</v>
      </c>
      <c r="H9" s="188" t="s">
        <v>189</v>
      </c>
      <c r="I9" s="191">
        <v>0.625</v>
      </c>
      <c r="J9" s="191">
        <v>0.875</v>
      </c>
      <c r="K9" s="192">
        <f t="shared" si="0"/>
        <v>1</v>
      </c>
    </row>
    <row r="10" spans="1:12" x14ac:dyDescent="0.25">
      <c r="A10" s="104"/>
      <c r="B10" s="187" t="s">
        <v>186</v>
      </c>
      <c r="C10" s="188">
        <v>5</v>
      </c>
      <c r="D10" s="189">
        <v>44935</v>
      </c>
      <c r="E10" s="188" t="s">
        <v>187</v>
      </c>
      <c r="F10" s="268"/>
      <c r="G10" s="188" t="s">
        <v>188</v>
      </c>
      <c r="H10" s="188" t="s">
        <v>189</v>
      </c>
      <c r="I10" s="191">
        <v>0.625</v>
      </c>
      <c r="J10" s="191">
        <v>0.875</v>
      </c>
      <c r="K10" s="192">
        <f t="shared" si="0"/>
        <v>1.25</v>
      </c>
    </row>
    <row r="11" spans="1:12" x14ac:dyDescent="0.25">
      <c r="A11" s="104"/>
      <c r="B11" s="187" t="s">
        <v>186</v>
      </c>
      <c r="C11" s="188">
        <v>6</v>
      </c>
      <c r="D11" s="189">
        <v>44959</v>
      </c>
      <c r="E11" s="188" t="s">
        <v>187</v>
      </c>
      <c r="F11" s="268"/>
      <c r="G11" s="188" t="s">
        <v>188</v>
      </c>
      <c r="H11" s="188" t="s">
        <v>189</v>
      </c>
      <c r="I11" s="191">
        <v>0.625</v>
      </c>
      <c r="J11" s="191">
        <v>0.875</v>
      </c>
      <c r="K11" s="192">
        <f t="shared" si="0"/>
        <v>1.5</v>
      </c>
    </row>
    <row r="12" spans="1:12" x14ac:dyDescent="0.25">
      <c r="A12" s="104"/>
      <c r="B12" s="187" t="s">
        <v>186</v>
      </c>
      <c r="C12" s="188">
        <v>7</v>
      </c>
      <c r="D12" s="189">
        <v>44981</v>
      </c>
      <c r="E12" s="188" t="s">
        <v>187</v>
      </c>
      <c r="F12" s="268"/>
      <c r="G12" s="188" t="s">
        <v>188</v>
      </c>
      <c r="H12" s="188" t="s">
        <v>189</v>
      </c>
      <c r="I12" s="191">
        <v>0.625</v>
      </c>
      <c r="J12" s="191">
        <v>0.875</v>
      </c>
      <c r="K12" s="192">
        <f t="shared" si="0"/>
        <v>1.75</v>
      </c>
    </row>
    <row r="13" spans="1:12" x14ac:dyDescent="0.25">
      <c r="A13" s="104"/>
      <c r="B13" s="187" t="s">
        <v>186</v>
      </c>
      <c r="C13" s="188">
        <v>8</v>
      </c>
      <c r="D13" s="189">
        <v>44984</v>
      </c>
      <c r="E13" s="188" t="s">
        <v>187</v>
      </c>
      <c r="F13" s="268"/>
      <c r="G13" s="188" t="s">
        <v>188</v>
      </c>
      <c r="H13" s="188" t="s">
        <v>189</v>
      </c>
      <c r="I13" s="191">
        <v>0.66666666666666696</v>
      </c>
      <c r="J13" s="191">
        <v>0.875</v>
      </c>
      <c r="K13" s="192">
        <f t="shared" si="0"/>
        <v>1.958333333333333</v>
      </c>
    </row>
    <row r="14" spans="1:12" x14ac:dyDescent="0.25">
      <c r="A14" s="104"/>
      <c r="B14" s="187" t="s">
        <v>186</v>
      </c>
      <c r="C14" s="188">
        <v>9</v>
      </c>
      <c r="D14" s="189">
        <v>44987</v>
      </c>
      <c r="E14" s="188" t="s">
        <v>187</v>
      </c>
      <c r="F14" s="268"/>
      <c r="G14" s="188" t="s">
        <v>188</v>
      </c>
      <c r="H14" s="188" t="s">
        <v>189</v>
      </c>
      <c r="I14" s="191">
        <v>0.66666666666666696</v>
      </c>
      <c r="J14" s="191">
        <v>0.875</v>
      </c>
      <c r="K14" s="192">
        <f t="shared" si="0"/>
        <v>2.1666666666666661</v>
      </c>
    </row>
    <row r="15" spans="1:12" x14ac:dyDescent="0.25">
      <c r="A15" s="104"/>
      <c r="B15" s="187" t="s">
        <v>186</v>
      </c>
      <c r="C15" s="188">
        <v>10</v>
      </c>
      <c r="D15" s="189">
        <v>44988</v>
      </c>
      <c r="E15" s="188" t="s">
        <v>187</v>
      </c>
      <c r="F15" s="268"/>
      <c r="G15" s="188" t="s">
        <v>188</v>
      </c>
      <c r="H15" s="188" t="s">
        <v>189</v>
      </c>
      <c r="I15" s="191">
        <v>0.66666666666666696</v>
      </c>
      <c r="J15" s="191">
        <v>0.875</v>
      </c>
      <c r="K15" s="192">
        <f t="shared" si="0"/>
        <v>2.3749999999999991</v>
      </c>
    </row>
    <row r="16" spans="1:12" x14ac:dyDescent="0.25">
      <c r="A16" s="104"/>
      <c r="B16" s="187" t="s">
        <v>186</v>
      </c>
      <c r="C16" s="188">
        <v>11</v>
      </c>
      <c r="D16" s="189">
        <v>44991</v>
      </c>
      <c r="E16" s="188" t="s">
        <v>187</v>
      </c>
      <c r="F16" s="268"/>
      <c r="G16" s="188" t="s">
        <v>188</v>
      </c>
      <c r="H16" s="188" t="s">
        <v>189</v>
      </c>
      <c r="I16" s="191">
        <v>0.66666666666666696</v>
      </c>
      <c r="J16" s="191">
        <v>0.875</v>
      </c>
      <c r="K16" s="192">
        <f t="shared" si="0"/>
        <v>2.5833333333333321</v>
      </c>
    </row>
    <row r="17" spans="1:11" x14ac:dyDescent="0.25">
      <c r="A17" s="104"/>
      <c r="B17" s="187" t="s">
        <v>186</v>
      </c>
      <c r="C17" s="188">
        <v>12</v>
      </c>
      <c r="D17" s="189">
        <v>44992</v>
      </c>
      <c r="E17" s="188" t="s">
        <v>187</v>
      </c>
      <c r="F17" s="268"/>
      <c r="G17" s="188" t="s">
        <v>188</v>
      </c>
      <c r="H17" s="188" t="s">
        <v>189</v>
      </c>
      <c r="I17" s="191">
        <v>0.70833333333333304</v>
      </c>
      <c r="J17" s="191">
        <v>0.875</v>
      </c>
      <c r="K17" s="192">
        <f t="shared" si="0"/>
        <v>2.7499999999999991</v>
      </c>
    </row>
    <row r="18" spans="1:11" x14ac:dyDescent="0.25">
      <c r="A18" s="104"/>
      <c r="B18" s="187" t="s">
        <v>186</v>
      </c>
      <c r="C18" s="188">
        <v>13</v>
      </c>
      <c r="D18" s="189">
        <v>44993</v>
      </c>
      <c r="E18" s="188" t="s">
        <v>187</v>
      </c>
      <c r="F18" s="268"/>
      <c r="G18" s="188" t="s">
        <v>188</v>
      </c>
      <c r="H18" s="188" t="s">
        <v>189</v>
      </c>
      <c r="I18" s="191">
        <v>0.70833333333333304</v>
      </c>
      <c r="J18" s="191">
        <v>0.875</v>
      </c>
      <c r="K18" s="192">
        <f t="shared" si="0"/>
        <v>2.9166666666666661</v>
      </c>
    </row>
    <row r="19" spans="1:11" x14ac:dyDescent="0.25">
      <c r="A19" s="104"/>
      <c r="B19" s="187" t="s">
        <v>186</v>
      </c>
      <c r="C19" s="188">
        <v>14</v>
      </c>
      <c r="D19" s="189">
        <v>45021</v>
      </c>
      <c r="E19" s="188" t="s">
        <v>187</v>
      </c>
      <c r="F19" s="268"/>
      <c r="G19" s="188" t="s">
        <v>188</v>
      </c>
      <c r="H19" s="188" t="s">
        <v>189</v>
      </c>
      <c r="I19" s="191">
        <v>0.75</v>
      </c>
      <c r="J19" s="191">
        <v>0.875</v>
      </c>
      <c r="K19" s="192">
        <f t="shared" ref="K19:K23" si="1">(J19-I19)+K18</f>
        <v>3.0416666666666661</v>
      </c>
    </row>
    <row r="20" spans="1:11" x14ac:dyDescent="0.25">
      <c r="A20" s="104"/>
      <c r="B20" s="187" t="s">
        <v>186</v>
      </c>
      <c r="C20" s="188">
        <v>15</v>
      </c>
      <c r="D20" s="189">
        <v>45022</v>
      </c>
      <c r="E20" s="188" t="s">
        <v>187</v>
      </c>
      <c r="F20" s="268"/>
      <c r="G20" s="188" t="s">
        <v>188</v>
      </c>
      <c r="H20" s="188" t="s">
        <v>189</v>
      </c>
      <c r="I20" s="191">
        <v>0.75</v>
      </c>
      <c r="J20" s="191">
        <v>0.875</v>
      </c>
      <c r="K20" s="192">
        <f t="shared" si="1"/>
        <v>3.1666666666666661</v>
      </c>
    </row>
    <row r="21" spans="1:11" x14ac:dyDescent="0.25">
      <c r="A21" s="104"/>
      <c r="B21" s="187" t="s">
        <v>186</v>
      </c>
      <c r="C21" s="188">
        <v>16</v>
      </c>
      <c r="D21" s="189">
        <v>45026</v>
      </c>
      <c r="E21" s="188" t="s">
        <v>187</v>
      </c>
      <c r="F21" s="268"/>
      <c r="G21" s="188" t="s">
        <v>188</v>
      </c>
      <c r="H21" s="188" t="s">
        <v>189</v>
      </c>
      <c r="I21" s="191">
        <v>0.75</v>
      </c>
      <c r="J21" s="191">
        <v>0.875</v>
      </c>
      <c r="K21" s="192">
        <f t="shared" si="1"/>
        <v>3.2916666666666661</v>
      </c>
    </row>
    <row r="22" spans="1:11" x14ac:dyDescent="0.25">
      <c r="A22" s="104"/>
      <c r="B22" s="187" t="s">
        <v>186</v>
      </c>
      <c r="C22" s="188">
        <v>17</v>
      </c>
      <c r="D22" s="189">
        <v>45037</v>
      </c>
      <c r="E22" s="188" t="s">
        <v>187</v>
      </c>
      <c r="F22" s="268"/>
      <c r="G22" s="188" t="s">
        <v>188</v>
      </c>
      <c r="H22" s="188" t="s">
        <v>189</v>
      </c>
      <c r="I22" s="191">
        <v>0.75</v>
      </c>
      <c r="J22" s="191">
        <v>0.875</v>
      </c>
      <c r="K22" s="192">
        <f t="shared" si="1"/>
        <v>3.4166666666666661</v>
      </c>
    </row>
    <row r="23" spans="1:11" x14ac:dyDescent="0.25">
      <c r="A23" s="104"/>
      <c r="B23" s="187" t="s">
        <v>186</v>
      </c>
      <c r="C23" s="188">
        <v>18</v>
      </c>
      <c r="D23" s="189">
        <v>45042</v>
      </c>
      <c r="E23" s="188" t="s">
        <v>187</v>
      </c>
      <c r="F23" s="268"/>
      <c r="G23" s="188" t="s">
        <v>188</v>
      </c>
      <c r="H23" s="188" t="s">
        <v>189</v>
      </c>
      <c r="I23" s="191">
        <v>0.75</v>
      </c>
      <c r="J23" s="191">
        <v>0.875</v>
      </c>
      <c r="K23" s="192">
        <f t="shared" si="1"/>
        <v>3.5416666666666661</v>
      </c>
    </row>
    <row r="24" spans="1:11" x14ac:dyDescent="0.25">
      <c r="A24" s="104"/>
      <c r="B24" s="187"/>
      <c r="C24" s="188"/>
      <c r="D24" s="189"/>
      <c r="E24" s="188"/>
      <c r="F24" s="190"/>
      <c r="G24" s="188"/>
      <c r="H24" s="188"/>
      <c r="I24" s="191"/>
      <c r="J24" s="191"/>
      <c r="K24" s="192"/>
    </row>
    <row r="25" spans="1:11" x14ac:dyDescent="0.25">
      <c r="A25" s="104">
        <v>1</v>
      </c>
      <c r="B25" s="187" t="s">
        <v>186</v>
      </c>
      <c r="C25" s="188">
        <v>1</v>
      </c>
      <c r="D25" s="193">
        <v>44929</v>
      </c>
      <c r="E25" s="188" t="s">
        <v>187</v>
      </c>
      <c r="F25" s="268"/>
      <c r="G25" s="188" t="s">
        <v>188</v>
      </c>
      <c r="H25" s="188" t="s">
        <v>190</v>
      </c>
      <c r="I25" s="191">
        <v>0.625</v>
      </c>
      <c r="J25" s="191">
        <v>0.875</v>
      </c>
      <c r="K25" s="192">
        <f>J25-I25</f>
        <v>0.25</v>
      </c>
    </row>
    <row r="26" spans="1:11" x14ac:dyDescent="0.25">
      <c r="A26" s="104"/>
      <c r="B26" s="187" t="s">
        <v>186</v>
      </c>
      <c r="C26" s="188">
        <v>2</v>
      </c>
      <c r="D26" s="193">
        <v>44930</v>
      </c>
      <c r="E26" s="188" t="s">
        <v>187</v>
      </c>
      <c r="F26" s="268"/>
      <c r="G26" s="188" t="s">
        <v>188</v>
      </c>
      <c r="H26" s="188" t="s">
        <v>190</v>
      </c>
      <c r="I26" s="191">
        <v>0.625</v>
      </c>
      <c r="J26" s="191">
        <v>0.875</v>
      </c>
      <c r="K26" s="192">
        <f t="shared" ref="K26:K43" si="2">(J26-I26)+K25</f>
        <v>0.5</v>
      </c>
    </row>
    <row r="27" spans="1:11" x14ac:dyDescent="0.25">
      <c r="A27" s="104"/>
      <c r="B27" s="187" t="s">
        <v>186</v>
      </c>
      <c r="C27" s="188">
        <v>3</v>
      </c>
      <c r="D27" s="193">
        <v>44931</v>
      </c>
      <c r="E27" s="188" t="s">
        <v>187</v>
      </c>
      <c r="F27" s="268"/>
      <c r="G27" s="188" t="s">
        <v>188</v>
      </c>
      <c r="H27" s="188" t="s">
        <v>190</v>
      </c>
      <c r="I27" s="191">
        <v>0.625</v>
      </c>
      <c r="J27" s="191">
        <v>0.875</v>
      </c>
      <c r="K27" s="192">
        <f t="shared" si="2"/>
        <v>0.75</v>
      </c>
    </row>
    <row r="28" spans="1:11" x14ac:dyDescent="0.25">
      <c r="A28" s="104"/>
      <c r="B28" s="187" t="s">
        <v>186</v>
      </c>
      <c r="C28" s="188">
        <v>4</v>
      </c>
      <c r="D28" s="193">
        <v>44932</v>
      </c>
      <c r="E28" s="188" t="s">
        <v>187</v>
      </c>
      <c r="F28" s="268"/>
      <c r="G28" s="188" t="s">
        <v>188</v>
      </c>
      <c r="H28" s="188" t="s">
        <v>190</v>
      </c>
      <c r="I28" s="191">
        <v>0.625</v>
      </c>
      <c r="J28" s="191">
        <v>0.875</v>
      </c>
      <c r="K28" s="192">
        <f t="shared" si="2"/>
        <v>1</v>
      </c>
    </row>
    <row r="29" spans="1:11" x14ac:dyDescent="0.25">
      <c r="A29" s="104"/>
      <c r="B29" s="187" t="s">
        <v>186</v>
      </c>
      <c r="C29" s="188">
        <v>5</v>
      </c>
      <c r="D29" s="193">
        <v>44935</v>
      </c>
      <c r="E29" s="188" t="s">
        <v>187</v>
      </c>
      <c r="F29" s="268"/>
      <c r="G29" s="188" t="s">
        <v>188</v>
      </c>
      <c r="H29" s="188" t="s">
        <v>190</v>
      </c>
      <c r="I29" s="191">
        <v>0.625</v>
      </c>
      <c r="J29" s="191">
        <v>0.875</v>
      </c>
      <c r="K29" s="192">
        <f t="shared" si="2"/>
        <v>1.25</v>
      </c>
    </row>
    <row r="30" spans="1:11" x14ac:dyDescent="0.25">
      <c r="A30" s="104"/>
      <c r="B30" s="187" t="s">
        <v>186</v>
      </c>
      <c r="C30" s="188">
        <v>6</v>
      </c>
      <c r="D30" s="189">
        <v>44958</v>
      </c>
      <c r="E30" s="188" t="s">
        <v>187</v>
      </c>
      <c r="F30" s="268"/>
      <c r="G30" s="188" t="s">
        <v>188</v>
      </c>
      <c r="H30" s="188" t="s">
        <v>190</v>
      </c>
      <c r="I30" s="191">
        <v>0.625</v>
      </c>
      <c r="J30" s="191">
        <v>0.875</v>
      </c>
      <c r="K30" s="192">
        <f t="shared" si="2"/>
        <v>1.5</v>
      </c>
    </row>
    <row r="31" spans="1:11" x14ac:dyDescent="0.25">
      <c r="A31" s="104"/>
      <c r="B31" s="187" t="s">
        <v>186</v>
      </c>
      <c r="C31" s="188">
        <v>7</v>
      </c>
      <c r="D31" s="189">
        <v>44959</v>
      </c>
      <c r="E31" s="188" t="s">
        <v>187</v>
      </c>
      <c r="F31" s="268"/>
      <c r="G31" s="188" t="s">
        <v>188</v>
      </c>
      <c r="H31" s="188" t="s">
        <v>190</v>
      </c>
      <c r="I31" s="191">
        <v>0.625</v>
      </c>
      <c r="J31" s="191">
        <v>0.875</v>
      </c>
      <c r="K31" s="192">
        <f t="shared" si="2"/>
        <v>1.75</v>
      </c>
    </row>
    <row r="32" spans="1:11" x14ac:dyDescent="0.25">
      <c r="A32" s="104"/>
      <c r="B32" s="187" t="s">
        <v>186</v>
      </c>
      <c r="C32" s="188">
        <v>8</v>
      </c>
      <c r="D32" s="189">
        <v>44981</v>
      </c>
      <c r="E32" s="188" t="s">
        <v>187</v>
      </c>
      <c r="F32" s="268"/>
      <c r="G32" s="188" t="s">
        <v>188</v>
      </c>
      <c r="H32" s="188" t="s">
        <v>190</v>
      </c>
      <c r="I32" s="191">
        <v>0.625</v>
      </c>
      <c r="J32" s="191">
        <v>0.875</v>
      </c>
      <c r="K32" s="192">
        <f t="shared" si="2"/>
        <v>2</v>
      </c>
    </row>
    <row r="33" spans="1:11" x14ac:dyDescent="0.25">
      <c r="A33" s="104"/>
      <c r="B33" s="187" t="s">
        <v>186</v>
      </c>
      <c r="C33" s="188">
        <v>9</v>
      </c>
      <c r="D33" s="189">
        <v>44984</v>
      </c>
      <c r="E33" s="188" t="s">
        <v>187</v>
      </c>
      <c r="F33" s="268"/>
      <c r="G33" s="188" t="s">
        <v>188</v>
      </c>
      <c r="H33" s="188" t="s">
        <v>190</v>
      </c>
      <c r="I33" s="191">
        <v>0.625</v>
      </c>
      <c r="J33" s="191">
        <v>0.875</v>
      </c>
      <c r="K33" s="192">
        <f t="shared" si="2"/>
        <v>2.25</v>
      </c>
    </row>
    <row r="34" spans="1:11" x14ac:dyDescent="0.25">
      <c r="A34" s="104"/>
      <c r="B34" s="187" t="s">
        <v>186</v>
      </c>
      <c r="C34" s="188">
        <v>10</v>
      </c>
      <c r="D34" s="193">
        <v>44986</v>
      </c>
      <c r="E34" s="188" t="s">
        <v>187</v>
      </c>
      <c r="F34" s="268"/>
      <c r="G34" s="188" t="s">
        <v>188</v>
      </c>
      <c r="H34" s="188" t="s">
        <v>190</v>
      </c>
      <c r="I34" s="191">
        <v>0.70833333333333304</v>
      </c>
      <c r="J34" s="191">
        <v>0.875</v>
      </c>
      <c r="K34" s="192">
        <f t="shared" si="2"/>
        <v>2.416666666666667</v>
      </c>
    </row>
    <row r="35" spans="1:11" x14ac:dyDescent="0.25">
      <c r="A35" s="104"/>
      <c r="B35" s="187" t="s">
        <v>186</v>
      </c>
      <c r="C35" s="188">
        <v>11</v>
      </c>
      <c r="D35" s="193">
        <v>44987</v>
      </c>
      <c r="E35" s="188" t="s">
        <v>187</v>
      </c>
      <c r="F35" s="268"/>
      <c r="G35" s="188" t="s">
        <v>188</v>
      </c>
      <c r="H35" s="188" t="s">
        <v>190</v>
      </c>
      <c r="I35" s="191">
        <v>0.66666666666666696</v>
      </c>
      <c r="J35" s="191">
        <v>0.875</v>
      </c>
      <c r="K35" s="192">
        <f t="shared" si="2"/>
        <v>2.625</v>
      </c>
    </row>
    <row r="36" spans="1:11" x14ac:dyDescent="0.25">
      <c r="A36" s="104"/>
      <c r="B36" s="187" t="s">
        <v>186</v>
      </c>
      <c r="C36" s="188">
        <v>12</v>
      </c>
      <c r="D36" s="193">
        <v>44988</v>
      </c>
      <c r="E36" s="188" t="s">
        <v>187</v>
      </c>
      <c r="F36" s="268"/>
      <c r="G36" s="188" t="s">
        <v>188</v>
      </c>
      <c r="H36" s="188" t="s">
        <v>190</v>
      </c>
      <c r="I36" s="191">
        <v>0.66666666666666696</v>
      </c>
      <c r="J36" s="191">
        <v>0.875</v>
      </c>
      <c r="K36" s="192">
        <f t="shared" si="2"/>
        <v>2.833333333333333</v>
      </c>
    </row>
    <row r="37" spans="1:11" x14ac:dyDescent="0.25">
      <c r="A37" s="104"/>
      <c r="B37" s="187" t="s">
        <v>186</v>
      </c>
      <c r="C37" s="188">
        <v>13</v>
      </c>
      <c r="D37" s="193">
        <v>44991</v>
      </c>
      <c r="E37" s="188" t="s">
        <v>187</v>
      </c>
      <c r="F37" s="268"/>
      <c r="G37" s="188" t="s">
        <v>188</v>
      </c>
      <c r="H37" s="188" t="s">
        <v>190</v>
      </c>
      <c r="I37" s="191">
        <v>0.66666666666666696</v>
      </c>
      <c r="J37" s="191">
        <v>0.875</v>
      </c>
      <c r="K37" s="192">
        <f t="shared" si="2"/>
        <v>3.0416666666666661</v>
      </c>
    </row>
    <row r="38" spans="1:11" x14ac:dyDescent="0.25">
      <c r="A38" s="104"/>
      <c r="B38" s="187" t="s">
        <v>186</v>
      </c>
      <c r="C38" s="188">
        <v>14</v>
      </c>
      <c r="D38" s="193">
        <v>44992</v>
      </c>
      <c r="E38" s="188" t="s">
        <v>187</v>
      </c>
      <c r="F38" s="268"/>
      <c r="G38" s="188" t="s">
        <v>188</v>
      </c>
      <c r="H38" s="188" t="s">
        <v>190</v>
      </c>
      <c r="I38" s="191">
        <v>0.70833333333333304</v>
      </c>
      <c r="J38" s="191">
        <v>0.875</v>
      </c>
      <c r="K38" s="192">
        <f t="shared" si="2"/>
        <v>3.208333333333333</v>
      </c>
    </row>
    <row r="39" spans="1:11" x14ac:dyDescent="0.25">
      <c r="A39" s="104"/>
      <c r="B39" s="187" t="s">
        <v>186</v>
      </c>
      <c r="C39" s="188">
        <v>15</v>
      </c>
      <c r="D39" s="189">
        <v>45021</v>
      </c>
      <c r="E39" s="188" t="s">
        <v>187</v>
      </c>
      <c r="F39" s="268"/>
      <c r="G39" s="188" t="s">
        <v>188</v>
      </c>
      <c r="H39" s="188" t="s">
        <v>190</v>
      </c>
      <c r="I39" s="191">
        <v>0.75</v>
      </c>
      <c r="J39" s="191">
        <v>0.875</v>
      </c>
      <c r="K39" s="192">
        <f t="shared" si="2"/>
        <v>3.333333333333333</v>
      </c>
    </row>
    <row r="40" spans="1:11" x14ac:dyDescent="0.25">
      <c r="A40" s="104"/>
      <c r="B40" s="187" t="s">
        <v>186</v>
      </c>
      <c r="C40" s="188">
        <v>16</v>
      </c>
      <c r="D40" s="189">
        <v>45022</v>
      </c>
      <c r="E40" s="188" t="s">
        <v>187</v>
      </c>
      <c r="F40" s="268"/>
      <c r="G40" s="188" t="s">
        <v>188</v>
      </c>
      <c r="H40" s="188" t="s">
        <v>190</v>
      </c>
      <c r="I40" s="191">
        <v>0.75</v>
      </c>
      <c r="J40" s="191">
        <v>0.875</v>
      </c>
      <c r="K40" s="192">
        <f t="shared" si="2"/>
        <v>3.458333333333333</v>
      </c>
    </row>
    <row r="41" spans="1:11" x14ac:dyDescent="0.25">
      <c r="A41" s="104"/>
      <c r="B41" s="187" t="s">
        <v>186</v>
      </c>
      <c r="C41" s="188">
        <v>17</v>
      </c>
      <c r="D41" s="189">
        <v>45026</v>
      </c>
      <c r="E41" s="188" t="s">
        <v>187</v>
      </c>
      <c r="F41" s="268"/>
      <c r="G41" s="188" t="s">
        <v>188</v>
      </c>
      <c r="H41" s="188" t="s">
        <v>190</v>
      </c>
      <c r="I41" s="191">
        <v>0.75</v>
      </c>
      <c r="J41" s="191">
        <v>0.875</v>
      </c>
      <c r="K41" s="192">
        <f t="shared" si="2"/>
        <v>3.583333333333333</v>
      </c>
    </row>
    <row r="42" spans="1:11" x14ac:dyDescent="0.25">
      <c r="A42" s="104"/>
      <c r="B42" s="187" t="s">
        <v>186</v>
      </c>
      <c r="C42" s="188">
        <v>18</v>
      </c>
      <c r="D42" s="189">
        <v>45037</v>
      </c>
      <c r="E42" s="188" t="s">
        <v>187</v>
      </c>
      <c r="F42" s="268"/>
      <c r="G42" s="188" t="s">
        <v>188</v>
      </c>
      <c r="H42" s="188" t="s">
        <v>190</v>
      </c>
      <c r="I42" s="191">
        <v>0.75</v>
      </c>
      <c r="J42" s="191">
        <v>0.875</v>
      </c>
      <c r="K42" s="192">
        <f t="shared" si="2"/>
        <v>3.708333333333333</v>
      </c>
    </row>
    <row r="43" spans="1:11" x14ac:dyDescent="0.25">
      <c r="A43" s="104"/>
      <c r="B43" s="187" t="s">
        <v>186</v>
      </c>
      <c r="C43" s="188">
        <v>19</v>
      </c>
      <c r="D43" s="189">
        <v>45042</v>
      </c>
      <c r="E43" s="188" t="s">
        <v>187</v>
      </c>
      <c r="F43" s="268"/>
      <c r="G43" s="188" t="s">
        <v>188</v>
      </c>
      <c r="H43" s="188" t="s">
        <v>190</v>
      </c>
      <c r="I43" s="191">
        <v>0.75</v>
      </c>
      <c r="J43" s="191">
        <v>0.875</v>
      </c>
      <c r="K43" s="192">
        <f t="shared" si="2"/>
        <v>3.833333333333333</v>
      </c>
    </row>
    <row r="44" spans="1:11" x14ac:dyDescent="0.25">
      <c r="A44" s="104"/>
      <c r="B44" s="187"/>
      <c r="C44" s="188"/>
      <c r="D44" s="193"/>
      <c r="E44" s="188"/>
      <c r="F44" s="190"/>
      <c r="G44" s="188"/>
      <c r="H44" s="188"/>
      <c r="I44" s="191"/>
      <c r="J44" s="191"/>
      <c r="K44" s="192"/>
    </row>
    <row r="45" spans="1:11" x14ac:dyDescent="0.25">
      <c r="A45" s="104">
        <v>1</v>
      </c>
      <c r="B45" s="187" t="s">
        <v>186</v>
      </c>
      <c r="C45" s="188">
        <v>1</v>
      </c>
      <c r="D45" s="189">
        <v>44929</v>
      </c>
      <c r="E45" s="188" t="s">
        <v>187</v>
      </c>
      <c r="F45" s="268"/>
      <c r="G45" s="188" t="s">
        <v>188</v>
      </c>
      <c r="H45" s="188" t="s">
        <v>191</v>
      </c>
      <c r="I45" s="191">
        <v>0.625</v>
      </c>
      <c r="J45" s="191">
        <v>0.875</v>
      </c>
      <c r="K45" s="192">
        <f>J45-I45</f>
        <v>0.25</v>
      </c>
    </row>
    <row r="46" spans="1:11" x14ac:dyDescent="0.25">
      <c r="A46" s="104">
        <v>1</v>
      </c>
      <c r="B46" s="187" t="s">
        <v>186</v>
      </c>
      <c r="C46" s="188">
        <v>2</v>
      </c>
      <c r="D46" s="189">
        <v>44930</v>
      </c>
      <c r="E46" s="188" t="s">
        <v>187</v>
      </c>
      <c r="F46" s="268"/>
      <c r="G46" s="188" t="s">
        <v>188</v>
      </c>
      <c r="H46" s="188" t="s">
        <v>191</v>
      </c>
      <c r="I46" s="191">
        <v>0.625</v>
      </c>
      <c r="J46" s="191">
        <v>0.875</v>
      </c>
      <c r="K46" s="192">
        <f t="shared" ref="K46:K57" si="3">(J46-I46)+K45</f>
        <v>0.5</v>
      </c>
    </row>
    <row r="47" spans="1:11" x14ac:dyDescent="0.25">
      <c r="A47" s="104">
        <v>1</v>
      </c>
      <c r="B47" s="187" t="s">
        <v>186</v>
      </c>
      <c r="C47" s="188">
        <v>3</v>
      </c>
      <c r="D47" s="189">
        <v>44931</v>
      </c>
      <c r="E47" s="188" t="s">
        <v>187</v>
      </c>
      <c r="F47" s="268"/>
      <c r="G47" s="188" t="s">
        <v>188</v>
      </c>
      <c r="H47" s="188" t="s">
        <v>191</v>
      </c>
      <c r="I47" s="191">
        <v>0.625</v>
      </c>
      <c r="J47" s="191">
        <v>0.875</v>
      </c>
      <c r="K47" s="192">
        <f t="shared" si="3"/>
        <v>0.75</v>
      </c>
    </row>
    <row r="48" spans="1:11" x14ac:dyDescent="0.25">
      <c r="A48" s="104">
        <v>1</v>
      </c>
      <c r="B48" s="187" t="s">
        <v>186</v>
      </c>
      <c r="C48" s="188">
        <v>4</v>
      </c>
      <c r="D48" s="189">
        <v>44932</v>
      </c>
      <c r="E48" s="188" t="s">
        <v>187</v>
      </c>
      <c r="F48" s="268"/>
      <c r="G48" s="188" t="s">
        <v>188</v>
      </c>
      <c r="H48" s="188" t="s">
        <v>191</v>
      </c>
      <c r="I48" s="191">
        <v>0.625</v>
      </c>
      <c r="J48" s="191">
        <v>0.875</v>
      </c>
      <c r="K48" s="192">
        <f t="shared" si="3"/>
        <v>1</v>
      </c>
    </row>
    <row r="49" spans="1:11" x14ac:dyDescent="0.25">
      <c r="A49" s="104">
        <v>1</v>
      </c>
      <c r="B49" s="187" t="s">
        <v>186</v>
      </c>
      <c r="C49" s="188">
        <v>5</v>
      </c>
      <c r="D49" s="189">
        <v>44935</v>
      </c>
      <c r="E49" s="188" t="s">
        <v>187</v>
      </c>
      <c r="F49" s="268"/>
      <c r="G49" s="188" t="s">
        <v>188</v>
      </c>
      <c r="H49" s="188" t="s">
        <v>191</v>
      </c>
      <c r="I49" s="191">
        <v>0.625</v>
      </c>
      <c r="J49" s="191">
        <v>0.875</v>
      </c>
      <c r="K49" s="192">
        <f t="shared" si="3"/>
        <v>1.25</v>
      </c>
    </row>
    <row r="50" spans="1:11" x14ac:dyDescent="0.25">
      <c r="A50" s="104"/>
      <c r="B50" s="187" t="s">
        <v>186</v>
      </c>
      <c r="C50" s="188">
        <v>6</v>
      </c>
      <c r="D50" s="189">
        <v>44958</v>
      </c>
      <c r="E50" s="188" t="s">
        <v>187</v>
      </c>
      <c r="F50" s="268"/>
      <c r="G50" s="188" t="s">
        <v>188</v>
      </c>
      <c r="H50" s="188" t="s">
        <v>191</v>
      </c>
      <c r="I50" s="191">
        <v>0.625</v>
      </c>
      <c r="J50" s="191">
        <v>0.875</v>
      </c>
      <c r="K50" s="192">
        <f t="shared" si="3"/>
        <v>1.5</v>
      </c>
    </row>
    <row r="51" spans="1:11" x14ac:dyDescent="0.25">
      <c r="A51" s="104"/>
      <c r="B51" s="187" t="s">
        <v>186</v>
      </c>
      <c r="C51" s="188">
        <v>7</v>
      </c>
      <c r="D51" s="189">
        <v>44959</v>
      </c>
      <c r="E51" s="188" t="s">
        <v>187</v>
      </c>
      <c r="F51" s="268"/>
      <c r="G51" s="188" t="s">
        <v>188</v>
      </c>
      <c r="H51" s="188" t="s">
        <v>191</v>
      </c>
      <c r="I51" s="191">
        <v>0.625</v>
      </c>
      <c r="J51" s="191">
        <v>0.875</v>
      </c>
      <c r="K51" s="192">
        <f t="shared" si="3"/>
        <v>1.75</v>
      </c>
    </row>
    <row r="52" spans="1:11" x14ac:dyDescent="0.25">
      <c r="A52" s="104"/>
      <c r="B52" s="187" t="s">
        <v>186</v>
      </c>
      <c r="C52" s="188">
        <v>8</v>
      </c>
      <c r="D52" s="189">
        <v>44981</v>
      </c>
      <c r="E52" s="188" t="s">
        <v>187</v>
      </c>
      <c r="F52" s="268"/>
      <c r="G52" s="188" t="s">
        <v>188</v>
      </c>
      <c r="H52" s="188" t="s">
        <v>191</v>
      </c>
      <c r="I52" s="191">
        <v>0.625</v>
      </c>
      <c r="J52" s="191">
        <v>0.875</v>
      </c>
      <c r="K52" s="192">
        <f t="shared" si="3"/>
        <v>2</v>
      </c>
    </row>
    <row r="53" spans="1:11" x14ac:dyDescent="0.25">
      <c r="A53" s="104"/>
      <c r="B53" s="187" t="s">
        <v>186</v>
      </c>
      <c r="C53" s="188">
        <v>9</v>
      </c>
      <c r="D53" s="189">
        <v>44984</v>
      </c>
      <c r="E53" s="188" t="s">
        <v>187</v>
      </c>
      <c r="F53" s="268"/>
      <c r="G53" s="188" t="s">
        <v>188</v>
      </c>
      <c r="H53" s="188" t="s">
        <v>191</v>
      </c>
      <c r="I53" s="191">
        <v>0.625</v>
      </c>
      <c r="J53" s="191">
        <v>0.875</v>
      </c>
      <c r="K53" s="192">
        <f t="shared" si="3"/>
        <v>2.25</v>
      </c>
    </row>
    <row r="54" spans="1:11" x14ac:dyDescent="0.25">
      <c r="A54" s="104"/>
      <c r="B54" s="187" t="s">
        <v>186</v>
      </c>
      <c r="C54" s="188">
        <v>10</v>
      </c>
      <c r="D54" s="189">
        <v>44986</v>
      </c>
      <c r="E54" s="188" t="s">
        <v>187</v>
      </c>
      <c r="F54" s="268"/>
      <c r="G54" s="188" t="s">
        <v>188</v>
      </c>
      <c r="H54" s="188" t="s">
        <v>191</v>
      </c>
      <c r="I54" s="191">
        <v>0.70833333333333304</v>
      </c>
      <c r="J54" s="191">
        <v>0.875</v>
      </c>
      <c r="K54" s="192">
        <f t="shared" si="3"/>
        <v>2.416666666666667</v>
      </c>
    </row>
    <row r="55" spans="1:11" x14ac:dyDescent="0.25">
      <c r="A55" s="104"/>
      <c r="B55" s="187" t="s">
        <v>186</v>
      </c>
      <c r="C55" s="188">
        <v>11</v>
      </c>
      <c r="D55" s="189">
        <v>44987</v>
      </c>
      <c r="E55" s="188" t="s">
        <v>187</v>
      </c>
      <c r="F55" s="268"/>
      <c r="G55" s="188" t="s">
        <v>188</v>
      </c>
      <c r="H55" s="188" t="s">
        <v>191</v>
      </c>
      <c r="I55" s="191">
        <v>0.66666666666666696</v>
      </c>
      <c r="J55" s="191">
        <v>0.875</v>
      </c>
      <c r="K55" s="192">
        <f t="shared" si="3"/>
        <v>2.625</v>
      </c>
    </row>
    <row r="56" spans="1:11" x14ac:dyDescent="0.25">
      <c r="A56" s="104"/>
      <c r="B56" s="187" t="s">
        <v>186</v>
      </c>
      <c r="C56" s="188">
        <v>12</v>
      </c>
      <c r="D56" s="189">
        <v>44988</v>
      </c>
      <c r="E56" s="188" t="s">
        <v>187</v>
      </c>
      <c r="F56" s="268"/>
      <c r="G56" s="188" t="s">
        <v>188</v>
      </c>
      <c r="H56" s="188" t="s">
        <v>191</v>
      </c>
      <c r="I56" s="191">
        <v>0.66666666666666696</v>
      </c>
      <c r="J56" s="191">
        <v>0.875</v>
      </c>
      <c r="K56" s="192">
        <f t="shared" si="3"/>
        <v>2.833333333333333</v>
      </c>
    </row>
    <row r="57" spans="1:11" x14ac:dyDescent="0.25">
      <c r="A57" s="104"/>
      <c r="B57" s="187" t="s">
        <v>186</v>
      </c>
      <c r="C57" s="188">
        <v>13</v>
      </c>
      <c r="D57" s="189">
        <v>44991</v>
      </c>
      <c r="E57" s="188" t="s">
        <v>187</v>
      </c>
      <c r="F57" s="268"/>
      <c r="G57" s="188" t="s">
        <v>188</v>
      </c>
      <c r="H57" s="188" t="s">
        <v>191</v>
      </c>
      <c r="I57" s="191">
        <v>0.66666666666666696</v>
      </c>
      <c r="J57" s="191">
        <v>0.875</v>
      </c>
      <c r="K57" s="192">
        <f t="shared" si="3"/>
        <v>3.0416666666666661</v>
      </c>
    </row>
    <row r="58" spans="1:11" x14ac:dyDescent="0.25">
      <c r="A58" s="104"/>
      <c r="B58" s="187" t="s">
        <v>186</v>
      </c>
      <c r="C58" s="188">
        <v>14</v>
      </c>
      <c r="D58" s="189">
        <v>44992</v>
      </c>
      <c r="E58" s="188" t="s">
        <v>187</v>
      </c>
      <c r="F58" s="268"/>
      <c r="G58" s="188" t="s">
        <v>188</v>
      </c>
      <c r="H58" s="188" t="s">
        <v>191</v>
      </c>
      <c r="I58" s="191">
        <v>0.70833333333333304</v>
      </c>
      <c r="J58" s="191">
        <v>0.875</v>
      </c>
      <c r="K58" s="192">
        <f>(J58-I58)+K57</f>
        <v>3.208333333333333</v>
      </c>
    </row>
    <row r="59" spans="1:11" x14ac:dyDescent="0.25">
      <c r="A59" s="104"/>
      <c r="B59" s="187" t="s">
        <v>186</v>
      </c>
      <c r="C59" s="188">
        <v>15</v>
      </c>
      <c r="D59" s="189">
        <v>45021</v>
      </c>
      <c r="E59" s="188" t="s">
        <v>187</v>
      </c>
      <c r="F59" s="268"/>
      <c r="G59" s="188" t="s">
        <v>188</v>
      </c>
      <c r="H59" s="188" t="s">
        <v>191</v>
      </c>
      <c r="I59" s="191">
        <v>0.75</v>
      </c>
      <c r="J59" s="191">
        <v>0.875</v>
      </c>
      <c r="K59" s="192">
        <f t="shared" ref="K59:K63" si="4">(J59-I59)+K58</f>
        <v>3.333333333333333</v>
      </c>
    </row>
    <row r="60" spans="1:11" x14ac:dyDescent="0.25">
      <c r="A60" s="104"/>
      <c r="B60" s="187" t="s">
        <v>186</v>
      </c>
      <c r="C60" s="188">
        <v>16</v>
      </c>
      <c r="D60" s="189">
        <v>45022</v>
      </c>
      <c r="E60" s="188" t="s">
        <v>187</v>
      </c>
      <c r="F60" s="268"/>
      <c r="G60" s="188" t="s">
        <v>188</v>
      </c>
      <c r="H60" s="188" t="s">
        <v>191</v>
      </c>
      <c r="I60" s="191">
        <v>0.75</v>
      </c>
      <c r="J60" s="191">
        <v>0.875</v>
      </c>
      <c r="K60" s="192">
        <f t="shared" si="4"/>
        <v>3.458333333333333</v>
      </c>
    </row>
    <row r="61" spans="1:11" x14ac:dyDescent="0.25">
      <c r="A61" s="104"/>
      <c r="B61" s="187" t="s">
        <v>186</v>
      </c>
      <c r="C61" s="188">
        <v>17</v>
      </c>
      <c r="D61" s="189">
        <v>45026</v>
      </c>
      <c r="E61" s="188" t="s">
        <v>187</v>
      </c>
      <c r="F61" s="268"/>
      <c r="G61" s="188" t="s">
        <v>188</v>
      </c>
      <c r="H61" s="188" t="s">
        <v>191</v>
      </c>
      <c r="I61" s="191">
        <v>0.75</v>
      </c>
      <c r="J61" s="191">
        <v>0.875</v>
      </c>
      <c r="K61" s="192">
        <f t="shared" si="4"/>
        <v>3.583333333333333</v>
      </c>
    </row>
    <row r="62" spans="1:11" x14ac:dyDescent="0.25">
      <c r="A62" s="104"/>
      <c r="B62" s="187" t="s">
        <v>186</v>
      </c>
      <c r="C62" s="188">
        <v>18</v>
      </c>
      <c r="D62" s="189">
        <v>45037</v>
      </c>
      <c r="E62" s="188" t="s">
        <v>187</v>
      </c>
      <c r="F62" s="268"/>
      <c r="G62" s="188" t="s">
        <v>188</v>
      </c>
      <c r="H62" s="188" t="s">
        <v>191</v>
      </c>
      <c r="I62" s="191">
        <v>0.75</v>
      </c>
      <c r="J62" s="191">
        <v>0.875</v>
      </c>
      <c r="K62" s="192">
        <f t="shared" si="4"/>
        <v>3.708333333333333</v>
      </c>
    </row>
    <row r="63" spans="1:11" x14ac:dyDescent="0.25">
      <c r="A63" s="104"/>
      <c r="B63" s="187" t="s">
        <v>186</v>
      </c>
      <c r="C63" s="188">
        <v>19</v>
      </c>
      <c r="D63" s="189">
        <v>45042</v>
      </c>
      <c r="E63" s="188" t="s">
        <v>187</v>
      </c>
      <c r="F63" s="268"/>
      <c r="G63" s="188" t="s">
        <v>188</v>
      </c>
      <c r="H63" s="188" t="s">
        <v>191</v>
      </c>
      <c r="I63" s="191">
        <v>0.75</v>
      </c>
      <c r="J63" s="191">
        <v>0.875</v>
      </c>
      <c r="K63" s="192">
        <f t="shared" si="4"/>
        <v>3.833333333333333</v>
      </c>
    </row>
    <row r="64" spans="1:11" s="169" customFormat="1" x14ac:dyDescent="0.25">
      <c r="A64" s="219"/>
      <c r="B64" s="187"/>
      <c r="C64" s="188"/>
      <c r="D64" s="189"/>
      <c r="E64" s="188"/>
      <c r="F64" s="190"/>
      <c r="G64" s="188"/>
      <c r="H64" s="188"/>
      <c r="I64" s="191"/>
      <c r="J64" s="191"/>
      <c r="K64" s="192"/>
    </row>
    <row r="65" spans="1:12" x14ac:dyDescent="0.25">
      <c r="A65" s="104"/>
      <c r="B65" s="222" t="s">
        <v>40</v>
      </c>
      <c r="C65" s="223">
        <v>1</v>
      </c>
      <c r="D65" s="224">
        <v>45107</v>
      </c>
      <c r="E65" s="188" t="s">
        <v>269</v>
      </c>
      <c r="F65" s="225">
        <v>32.294014555760398</v>
      </c>
      <c r="G65" s="225" t="s">
        <v>270</v>
      </c>
      <c r="H65" s="226" t="s">
        <v>189</v>
      </c>
      <c r="I65" s="191">
        <v>0.70833333333333337</v>
      </c>
      <c r="J65" s="191">
        <v>0.75</v>
      </c>
      <c r="K65" s="227">
        <f>J65-I65</f>
        <v>4.166666666666663E-2</v>
      </c>
    </row>
    <row r="66" spans="1:12" x14ac:dyDescent="0.25">
      <c r="A66" s="104"/>
      <c r="B66" s="187"/>
      <c r="C66" s="188"/>
      <c r="D66" s="189"/>
      <c r="E66" s="188"/>
      <c r="F66" s="190"/>
      <c r="G66" s="188"/>
      <c r="H66" s="188"/>
      <c r="I66" s="191"/>
      <c r="J66" s="191"/>
      <c r="K66" s="192"/>
    </row>
    <row r="67" spans="1:12" x14ac:dyDescent="0.25">
      <c r="A67" s="104"/>
      <c r="B67" s="222" t="s">
        <v>40</v>
      </c>
      <c r="C67" s="223">
        <v>1</v>
      </c>
      <c r="D67" s="224">
        <v>45107</v>
      </c>
      <c r="E67" s="188" t="s">
        <v>269</v>
      </c>
      <c r="F67" s="225">
        <v>9.5962608824295614</v>
      </c>
      <c r="G67" s="225" t="s">
        <v>270</v>
      </c>
      <c r="H67" s="226" t="s">
        <v>271</v>
      </c>
      <c r="I67" s="191">
        <v>0.70833333333333337</v>
      </c>
      <c r="J67" s="191">
        <v>0.75</v>
      </c>
      <c r="K67" s="227">
        <f>J67-I67</f>
        <v>4.166666666666663E-2</v>
      </c>
    </row>
    <row r="68" spans="1:12" x14ac:dyDescent="0.25">
      <c r="A68" s="104"/>
      <c r="B68" s="187"/>
      <c r="C68" s="188"/>
      <c r="D68" s="189"/>
      <c r="E68" s="188"/>
      <c r="F68" s="190"/>
      <c r="G68" s="188"/>
      <c r="H68" s="188"/>
      <c r="I68" s="191"/>
      <c r="J68" s="191"/>
      <c r="K68" s="192"/>
    </row>
    <row r="69" spans="1:12" x14ac:dyDescent="0.25">
      <c r="A69" s="104"/>
      <c r="B69" s="222" t="s">
        <v>40</v>
      </c>
      <c r="C69" s="223">
        <v>1</v>
      </c>
      <c r="D69" s="224">
        <v>45107</v>
      </c>
      <c r="E69" s="188" t="s">
        <v>269</v>
      </c>
      <c r="F69" s="225">
        <v>18.664902259253623</v>
      </c>
      <c r="G69" s="225" t="s">
        <v>270</v>
      </c>
      <c r="H69" s="226" t="s">
        <v>190</v>
      </c>
      <c r="I69" s="191">
        <v>0.70833333333333337</v>
      </c>
      <c r="J69" s="191">
        <v>0.75</v>
      </c>
      <c r="K69" s="227">
        <f>J69-I69</f>
        <v>4.166666666666663E-2</v>
      </c>
    </row>
    <row r="70" spans="1:12" x14ac:dyDescent="0.25">
      <c r="A70" s="104"/>
      <c r="B70" s="187"/>
      <c r="C70" s="188"/>
      <c r="D70" s="189"/>
      <c r="E70" s="188"/>
      <c r="F70" s="190"/>
      <c r="G70" s="188"/>
      <c r="H70" s="188"/>
      <c r="I70" s="191"/>
      <c r="J70" s="191"/>
      <c r="K70" s="192"/>
    </row>
    <row r="71" spans="1:12" x14ac:dyDescent="0.25">
      <c r="A71" s="104"/>
      <c r="B71" s="222" t="s">
        <v>40</v>
      </c>
      <c r="C71" s="223">
        <v>1</v>
      </c>
      <c r="D71" s="224">
        <v>45107</v>
      </c>
      <c r="E71" s="188" t="s">
        <v>269</v>
      </c>
      <c r="F71" s="225">
        <v>1.9764928202639647</v>
      </c>
      <c r="G71" s="225" t="s">
        <v>270</v>
      </c>
      <c r="H71" s="226" t="s">
        <v>272</v>
      </c>
      <c r="I71" s="191">
        <v>0.70833333333333337</v>
      </c>
      <c r="J71" s="191">
        <v>0.75</v>
      </c>
      <c r="K71" s="227">
        <f>J71-I71</f>
        <v>4.166666666666663E-2</v>
      </c>
    </row>
    <row r="72" spans="1:12" x14ac:dyDescent="0.25">
      <c r="A72" s="104"/>
      <c r="B72" s="187"/>
      <c r="C72" s="188"/>
      <c r="D72" s="189"/>
      <c r="E72" s="188"/>
      <c r="F72" s="190"/>
      <c r="G72" s="188"/>
      <c r="H72" s="188"/>
      <c r="I72" s="191"/>
      <c r="J72" s="191"/>
      <c r="K72" s="192"/>
    </row>
    <row r="73" spans="1:12" x14ac:dyDescent="0.25">
      <c r="A73" s="104"/>
      <c r="B73" s="222" t="s">
        <v>40</v>
      </c>
      <c r="C73" s="223">
        <v>1</v>
      </c>
      <c r="D73" s="224">
        <v>45107</v>
      </c>
      <c r="E73" s="188" t="s">
        <v>269</v>
      </c>
      <c r="F73" s="225">
        <v>7.1464167632939585E-2</v>
      </c>
      <c r="G73" s="225" t="s">
        <v>270</v>
      </c>
      <c r="H73" s="226" t="s">
        <v>273</v>
      </c>
      <c r="I73" s="191">
        <v>0.70833333333333337</v>
      </c>
      <c r="J73" s="191">
        <v>0.75</v>
      </c>
      <c r="K73" s="227">
        <f>J73-I73</f>
        <v>4.166666666666663E-2</v>
      </c>
    </row>
    <row r="74" spans="1:12" x14ac:dyDescent="0.25">
      <c r="A74" s="104"/>
      <c r="B74" s="187"/>
      <c r="C74" s="223"/>
      <c r="D74" s="189"/>
      <c r="E74" s="188"/>
      <c r="F74" s="190"/>
      <c r="G74" s="188"/>
      <c r="H74" s="188"/>
      <c r="I74" s="191"/>
      <c r="J74" s="191"/>
      <c r="K74" s="192"/>
    </row>
    <row r="75" spans="1:12" x14ac:dyDescent="0.25">
      <c r="A75" s="104"/>
      <c r="B75" s="222" t="s">
        <v>40</v>
      </c>
      <c r="C75" s="223">
        <v>1</v>
      </c>
      <c r="D75" s="224">
        <v>45107</v>
      </c>
      <c r="E75" s="188" t="s">
        <v>269</v>
      </c>
      <c r="F75" s="225">
        <v>1.0959110629273758</v>
      </c>
      <c r="G75" s="225" t="s">
        <v>270</v>
      </c>
      <c r="H75" s="226" t="s">
        <v>191</v>
      </c>
      <c r="I75" s="191">
        <v>0.70833333333333337</v>
      </c>
      <c r="J75" s="191">
        <v>0.75</v>
      </c>
      <c r="K75" s="227">
        <f>J75-I75</f>
        <v>4.166666666666663E-2</v>
      </c>
    </row>
    <row r="76" spans="1:12" x14ac:dyDescent="0.25">
      <c r="A76" s="104"/>
      <c r="B76" s="1"/>
      <c r="C76" s="1"/>
      <c r="D76" s="1"/>
      <c r="E76" s="1"/>
      <c r="F76" s="1"/>
      <c r="G76" s="1"/>
      <c r="H76" s="1"/>
      <c r="I76" s="1"/>
      <c r="J76" s="1"/>
      <c r="K76" s="1"/>
      <c r="L76" s="1"/>
    </row>
    <row r="77" spans="1:12" x14ac:dyDescent="0.25">
      <c r="A77" s="104"/>
      <c r="B77" s="2" t="s">
        <v>72</v>
      </c>
      <c r="C77" s="1"/>
      <c r="D77" s="1"/>
      <c r="E77" s="1"/>
      <c r="F77" s="1"/>
      <c r="G77" s="1"/>
      <c r="H77" s="1"/>
      <c r="I77" s="1"/>
      <c r="J77" s="1"/>
      <c r="K77" s="1"/>
      <c r="L77" s="1"/>
    </row>
    <row r="78" spans="1:12" ht="28.5" customHeight="1" x14ac:dyDescent="0.25">
      <c r="A78" s="104"/>
      <c r="B78" s="234" t="s">
        <v>224</v>
      </c>
      <c r="C78" s="234"/>
      <c r="D78" s="234"/>
      <c r="E78" s="234"/>
      <c r="F78" s="234"/>
      <c r="G78" s="234"/>
      <c r="H78" s="234"/>
      <c r="I78" s="234"/>
      <c r="J78" s="234"/>
      <c r="K78" s="234"/>
      <c r="L78" s="3"/>
    </row>
    <row r="79" spans="1:12" x14ac:dyDescent="0.25">
      <c r="A79" s="104"/>
      <c r="B79" s="1" t="s">
        <v>225</v>
      </c>
      <c r="C79" s="1"/>
      <c r="D79" s="1"/>
      <c r="E79" s="1"/>
      <c r="F79" s="1"/>
      <c r="G79" s="1"/>
      <c r="H79" s="1"/>
      <c r="I79" s="1"/>
      <c r="J79" s="1"/>
      <c r="K79" s="1"/>
      <c r="L79" s="1"/>
    </row>
    <row r="80" spans="1:12" x14ac:dyDescent="0.25">
      <c r="A80" s="104"/>
      <c r="B80" s="106" t="s">
        <v>226</v>
      </c>
      <c r="C80" s="1"/>
      <c r="D80" s="1"/>
      <c r="E80" s="1"/>
      <c r="F80" s="1"/>
      <c r="G80" s="1"/>
      <c r="H80" s="1"/>
      <c r="I80" s="1"/>
      <c r="J80" s="1"/>
      <c r="K80" s="1"/>
      <c r="L80" s="1"/>
    </row>
    <row r="81" spans="1:12" x14ac:dyDescent="0.25">
      <c r="A81" s="104"/>
      <c r="B81" s="1" t="s">
        <v>227</v>
      </c>
      <c r="C81" s="1"/>
      <c r="D81" s="1"/>
      <c r="E81" s="1"/>
      <c r="F81" s="1"/>
      <c r="G81" s="1"/>
      <c r="H81" s="1"/>
      <c r="I81" s="1"/>
      <c r="J81" s="1"/>
      <c r="K81" s="1"/>
      <c r="L81" s="1"/>
    </row>
    <row r="82" spans="1:12" x14ac:dyDescent="0.25">
      <c r="A82" s="104"/>
      <c r="B82" s="106" t="s">
        <v>228</v>
      </c>
      <c r="C82" s="1"/>
      <c r="D82" s="1"/>
      <c r="E82" s="1"/>
      <c r="F82" s="1"/>
      <c r="G82" s="1"/>
      <c r="H82" s="1"/>
      <c r="I82" s="1"/>
      <c r="J82" s="1"/>
      <c r="K82" s="1"/>
      <c r="L82" s="1"/>
    </row>
    <row r="83" spans="1:12" x14ac:dyDescent="0.25">
      <c r="A83" s="104"/>
      <c r="B83" s="1" t="s">
        <v>229</v>
      </c>
      <c r="C83" s="1"/>
      <c r="D83" s="1"/>
      <c r="E83" s="1"/>
      <c r="F83" s="1"/>
      <c r="G83" s="1"/>
      <c r="H83" s="1"/>
      <c r="I83" s="1"/>
      <c r="J83" s="1"/>
      <c r="K83" s="1"/>
      <c r="L83" s="1"/>
    </row>
    <row r="84" spans="1:12" x14ac:dyDescent="0.25">
      <c r="A84" s="104"/>
      <c r="B84" s="1" t="s">
        <v>230</v>
      </c>
      <c r="C84" s="1"/>
      <c r="D84" s="1"/>
      <c r="E84" s="1"/>
      <c r="F84" s="1"/>
      <c r="G84" s="1"/>
      <c r="H84" s="1"/>
      <c r="I84" s="1"/>
      <c r="J84" s="1"/>
      <c r="K84" s="1"/>
      <c r="L84" s="1"/>
    </row>
    <row r="85" spans="1:12" x14ac:dyDescent="0.25">
      <c r="B85" s="1"/>
      <c r="C85" s="1"/>
      <c r="D85" s="1"/>
      <c r="E85" s="1"/>
      <c r="F85" s="1"/>
      <c r="G85" s="1"/>
      <c r="H85" s="1"/>
      <c r="I85" s="1"/>
      <c r="J85" s="1"/>
      <c r="K85" s="1"/>
      <c r="L85" s="1"/>
    </row>
    <row r="86" spans="1:12" x14ac:dyDescent="0.25">
      <c r="B86" s="1"/>
      <c r="C86" s="1"/>
      <c r="D86" s="1"/>
      <c r="E86" s="1"/>
      <c r="F86" s="1"/>
      <c r="G86" s="1"/>
      <c r="H86" s="1"/>
      <c r="I86" s="1"/>
      <c r="J86" s="1"/>
      <c r="K86" s="1"/>
      <c r="L86" s="1"/>
    </row>
    <row r="87" spans="1:12" x14ac:dyDescent="0.25">
      <c r="B87" s="1"/>
      <c r="C87" s="1"/>
      <c r="D87" s="1"/>
      <c r="E87" s="1"/>
      <c r="F87" s="1"/>
      <c r="G87" s="1"/>
      <c r="H87" s="1"/>
      <c r="I87" s="1"/>
      <c r="J87" s="1"/>
      <c r="K87" s="1"/>
      <c r="L87" s="1"/>
    </row>
    <row r="88" spans="1:12" x14ac:dyDescent="0.25">
      <c r="B88" s="1"/>
      <c r="C88" s="1"/>
      <c r="D88" s="1"/>
      <c r="E88" s="1"/>
      <c r="F88" s="1"/>
      <c r="G88" s="1"/>
      <c r="H88" s="1"/>
      <c r="I88" s="1"/>
      <c r="J88" s="1"/>
      <c r="K88" s="1"/>
      <c r="L88" s="1"/>
    </row>
    <row r="89" spans="1:12" x14ac:dyDescent="0.25">
      <c r="B89" s="1"/>
      <c r="C89" s="1"/>
      <c r="D89" s="1"/>
      <c r="E89" s="1"/>
      <c r="F89" s="1"/>
      <c r="G89" s="1"/>
      <c r="H89" s="1"/>
      <c r="I89" s="1"/>
      <c r="J89" s="1"/>
      <c r="K89" s="1"/>
      <c r="L89" s="1"/>
    </row>
    <row r="90" spans="1:12" x14ac:dyDescent="0.25">
      <c r="B90" s="1"/>
      <c r="C90" s="1"/>
      <c r="D90" s="1"/>
      <c r="E90" s="1"/>
      <c r="F90" s="1"/>
      <c r="G90" s="1"/>
      <c r="H90" s="1"/>
      <c r="I90" s="1"/>
      <c r="J90" s="1"/>
      <c r="K90" s="1"/>
      <c r="L90" s="1"/>
    </row>
    <row r="91" spans="1:12" x14ac:dyDescent="0.25">
      <c r="B91" s="1"/>
      <c r="C91" s="1"/>
      <c r="D91" s="1"/>
      <c r="E91" s="1"/>
      <c r="F91" s="1"/>
      <c r="G91" s="1"/>
      <c r="H91" s="1"/>
      <c r="I91" s="1"/>
      <c r="J91" s="1"/>
      <c r="K91" s="1"/>
      <c r="L91" s="1"/>
    </row>
    <row r="92" spans="1:12" x14ac:dyDescent="0.25">
      <c r="B92" s="1"/>
      <c r="C92" s="1"/>
      <c r="D92" s="1"/>
      <c r="E92" s="1"/>
      <c r="F92" s="1"/>
      <c r="G92" s="1"/>
      <c r="H92" s="1"/>
      <c r="I92" s="1"/>
      <c r="J92" s="1"/>
      <c r="K92" s="1"/>
      <c r="L92" s="1"/>
    </row>
    <row r="93" spans="1:12" x14ac:dyDescent="0.25">
      <c r="B93" s="1"/>
      <c r="C93" s="1"/>
      <c r="D93" s="1"/>
      <c r="E93" s="1"/>
      <c r="F93" s="1"/>
      <c r="G93" s="1"/>
      <c r="H93" s="1"/>
      <c r="I93" s="1"/>
      <c r="J93" s="1"/>
      <c r="K93" s="1"/>
      <c r="L93" s="1"/>
    </row>
    <row r="94" spans="1:12" x14ac:dyDescent="0.25">
      <c r="B94" s="1"/>
      <c r="C94" s="1"/>
      <c r="D94" s="1"/>
      <c r="E94" s="1"/>
      <c r="F94" s="1"/>
      <c r="G94" s="1"/>
      <c r="H94" s="1"/>
      <c r="I94" s="1"/>
      <c r="J94" s="1"/>
      <c r="K94" s="1"/>
      <c r="L94" s="1"/>
    </row>
    <row r="95" spans="1:12" x14ac:dyDescent="0.25">
      <c r="B95" s="1"/>
      <c r="C95" s="1"/>
      <c r="D95" s="1"/>
      <c r="E95" s="1"/>
      <c r="F95" s="1"/>
      <c r="G95" s="1"/>
      <c r="H95" s="1"/>
      <c r="I95" s="1"/>
      <c r="J95" s="1"/>
      <c r="K95" s="1"/>
      <c r="L95" s="1"/>
    </row>
    <row r="96" spans="1:12" x14ac:dyDescent="0.25">
      <c r="B96" s="1"/>
      <c r="C96" s="1"/>
      <c r="D96" s="1"/>
      <c r="E96" s="1"/>
      <c r="F96" s="1"/>
      <c r="G96" s="1"/>
      <c r="H96" s="1"/>
      <c r="I96" s="1"/>
      <c r="J96" s="1"/>
      <c r="K96" s="1"/>
      <c r="L96" s="1"/>
    </row>
    <row r="97" spans="2:12" x14ac:dyDescent="0.25">
      <c r="B97" s="1"/>
      <c r="C97" s="1"/>
      <c r="D97" s="1"/>
      <c r="E97" s="1"/>
      <c r="F97" s="1"/>
      <c r="G97" s="1"/>
      <c r="H97" s="1"/>
      <c r="I97" s="1"/>
      <c r="J97" s="1"/>
      <c r="K97" s="1"/>
      <c r="L97" s="1"/>
    </row>
    <row r="98" spans="2:12" x14ac:dyDescent="0.25">
      <c r="B98" s="1"/>
      <c r="C98" s="1"/>
      <c r="D98" s="1"/>
      <c r="E98" s="1"/>
      <c r="F98" s="1"/>
      <c r="G98" s="1"/>
      <c r="H98" s="1"/>
      <c r="I98" s="1"/>
      <c r="J98" s="1"/>
      <c r="K98" s="1"/>
      <c r="L98" s="1"/>
    </row>
    <row r="99" spans="2:12" x14ac:dyDescent="0.25">
      <c r="B99" s="1"/>
      <c r="C99" s="1"/>
      <c r="D99" s="1"/>
      <c r="E99" s="1"/>
      <c r="F99" s="1"/>
      <c r="G99" s="1"/>
      <c r="H99" s="1"/>
      <c r="I99" s="1"/>
      <c r="J99" s="1"/>
      <c r="K99" s="1"/>
      <c r="L99" s="1"/>
    </row>
    <row r="100" spans="2:12" x14ac:dyDescent="0.25">
      <c r="B100" s="1"/>
      <c r="C100" s="1"/>
      <c r="D100" s="1"/>
      <c r="E100" s="1"/>
      <c r="F100" s="1"/>
      <c r="G100" s="1"/>
      <c r="H100" s="1"/>
      <c r="I100" s="1"/>
      <c r="J100" s="1"/>
      <c r="K100" s="1"/>
      <c r="L100" s="1"/>
    </row>
    <row r="101" spans="2:12" x14ac:dyDescent="0.25">
      <c r="B101" s="1"/>
      <c r="C101" s="1"/>
      <c r="D101" s="1"/>
      <c r="E101" s="1"/>
      <c r="F101" s="1"/>
      <c r="G101" s="1"/>
      <c r="H101" s="1"/>
      <c r="I101" s="1"/>
      <c r="J101" s="1"/>
      <c r="K101" s="1"/>
      <c r="L101" s="1"/>
    </row>
    <row r="102" spans="2:12" x14ac:dyDescent="0.25">
      <c r="B102" s="1"/>
      <c r="C102" s="1"/>
      <c r="D102" s="1"/>
      <c r="E102" s="1"/>
      <c r="F102" s="1"/>
      <c r="G102" s="1"/>
      <c r="H102" s="1"/>
      <c r="I102" s="1"/>
      <c r="J102" s="1"/>
      <c r="K102" s="1"/>
      <c r="L102" s="1"/>
    </row>
    <row r="103" spans="2:12" x14ac:dyDescent="0.25">
      <c r="B103" s="1"/>
      <c r="C103" s="1"/>
      <c r="D103" s="1"/>
      <c r="E103" s="1"/>
      <c r="F103" s="1"/>
      <c r="G103" s="1"/>
      <c r="H103" s="1"/>
      <c r="I103" s="1"/>
      <c r="J103" s="1"/>
      <c r="K103" s="1"/>
      <c r="L103" s="1"/>
    </row>
    <row r="104" spans="2:12" x14ac:dyDescent="0.25">
      <c r="B104" s="1"/>
      <c r="C104" s="1"/>
      <c r="D104" s="1"/>
      <c r="E104" s="1"/>
      <c r="F104" s="1"/>
      <c r="G104" s="1"/>
      <c r="H104" s="1"/>
      <c r="I104" s="1"/>
      <c r="J104" s="1"/>
      <c r="K104" s="1"/>
      <c r="L104" s="1"/>
    </row>
    <row r="105" spans="2:12" x14ac:dyDescent="0.25">
      <c r="B105" s="1"/>
      <c r="C105" s="1"/>
      <c r="D105" s="1"/>
      <c r="E105" s="1"/>
      <c r="F105" s="1"/>
      <c r="G105" s="1"/>
      <c r="H105" s="1"/>
      <c r="I105" s="1"/>
      <c r="J105" s="1"/>
      <c r="K105" s="1"/>
      <c r="L105" s="1"/>
    </row>
    <row r="106" spans="2:12" x14ac:dyDescent="0.25">
      <c r="B106" s="1"/>
      <c r="C106" s="1"/>
      <c r="D106" s="1"/>
      <c r="E106" s="1"/>
      <c r="F106" s="1"/>
      <c r="G106" s="1"/>
      <c r="H106" s="1"/>
      <c r="I106" s="1"/>
      <c r="J106" s="1"/>
      <c r="K106" s="1"/>
      <c r="L106" s="1"/>
    </row>
    <row r="107" spans="2:12" x14ac:dyDescent="0.25">
      <c r="B107" s="1"/>
      <c r="C107" s="1"/>
      <c r="D107" s="1"/>
      <c r="E107" s="1"/>
      <c r="F107" s="1"/>
      <c r="G107" s="1"/>
      <c r="H107" s="1"/>
      <c r="I107" s="1"/>
      <c r="J107" s="1"/>
      <c r="K107" s="1"/>
      <c r="L107" s="1"/>
    </row>
    <row r="108" spans="2:12" x14ac:dyDescent="0.25">
      <c r="B108" s="1"/>
      <c r="C108" s="1"/>
      <c r="D108" s="1"/>
      <c r="E108" s="1"/>
      <c r="F108" s="1"/>
      <c r="G108" s="1"/>
      <c r="H108" s="1"/>
      <c r="I108" s="1"/>
      <c r="J108" s="1"/>
      <c r="K108" s="1"/>
      <c r="L108" s="1"/>
    </row>
    <row r="109" spans="2:12" x14ac:dyDescent="0.25">
      <c r="B109" s="1"/>
      <c r="C109" s="1"/>
      <c r="D109" s="1"/>
      <c r="E109" s="1"/>
      <c r="F109" s="1"/>
      <c r="G109" s="1"/>
      <c r="H109" s="1"/>
      <c r="I109" s="1"/>
      <c r="J109" s="1"/>
      <c r="K109" s="1"/>
      <c r="L109" s="1"/>
    </row>
    <row r="110" spans="2:12" x14ac:dyDescent="0.25">
      <c r="B110" s="1"/>
      <c r="C110" s="1"/>
      <c r="D110" s="1"/>
      <c r="E110" s="1"/>
      <c r="F110" s="1"/>
      <c r="G110" s="1"/>
      <c r="H110" s="1"/>
      <c r="I110" s="1"/>
      <c r="J110" s="1"/>
      <c r="K110" s="1"/>
      <c r="L110" s="1"/>
    </row>
    <row r="111" spans="2:12" x14ac:dyDescent="0.25">
      <c r="B111" s="1"/>
      <c r="C111" s="1"/>
      <c r="D111" s="1"/>
      <c r="E111" s="1"/>
      <c r="F111" s="1"/>
      <c r="G111" s="1"/>
      <c r="H111" s="1"/>
      <c r="I111" s="1"/>
      <c r="J111" s="1"/>
      <c r="K111" s="1"/>
      <c r="L111" s="1"/>
    </row>
    <row r="112" spans="2:12" x14ac:dyDescent="0.25">
      <c r="B112" s="1"/>
      <c r="C112" s="1"/>
      <c r="D112" s="1"/>
      <c r="E112" s="1"/>
      <c r="F112" s="1"/>
      <c r="G112" s="1"/>
      <c r="H112" s="1"/>
      <c r="I112" s="1"/>
      <c r="J112" s="1"/>
      <c r="K112" s="1"/>
      <c r="L112" s="1"/>
    </row>
    <row r="113" spans="2:12" x14ac:dyDescent="0.25">
      <c r="B113" s="1"/>
      <c r="C113" s="1"/>
      <c r="D113" s="1"/>
      <c r="E113" s="1"/>
      <c r="F113" s="1"/>
      <c r="G113" s="1"/>
      <c r="H113" s="1"/>
      <c r="I113" s="1"/>
      <c r="J113" s="1"/>
      <c r="K113" s="1"/>
      <c r="L113" s="1"/>
    </row>
    <row r="114" spans="2:12" x14ac:dyDescent="0.25">
      <c r="B114" s="1"/>
      <c r="C114" s="1"/>
      <c r="D114" s="1"/>
      <c r="E114" s="1"/>
      <c r="F114" s="1"/>
      <c r="G114" s="1"/>
      <c r="H114" s="1"/>
      <c r="I114" s="1"/>
      <c r="J114" s="1"/>
      <c r="K114" s="1"/>
      <c r="L114" s="1"/>
    </row>
    <row r="115" spans="2:12" x14ac:dyDescent="0.25">
      <c r="B115" s="1"/>
      <c r="C115" s="1"/>
      <c r="D115" s="1"/>
      <c r="E115" s="1"/>
      <c r="F115" s="1"/>
      <c r="G115" s="1"/>
      <c r="H115" s="1"/>
      <c r="I115" s="1"/>
      <c r="J115" s="1"/>
      <c r="K115" s="1"/>
      <c r="L115" s="1"/>
    </row>
    <row r="116" spans="2:12" x14ac:dyDescent="0.25">
      <c r="B116" s="1"/>
      <c r="C116" s="1"/>
      <c r="D116" s="1"/>
      <c r="E116" s="1"/>
      <c r="F116" s="1"/>
      <c r="G116" s="1"/>
      <c r="H116" s="1"/>
      <c r="I116" s="1"/>
      <c r="J116" s="1"/>
      <c r="K116" s="1"/>
      <c r="L116" s="1"/>
    </row>
    <row r="117" spans="2:12" x14ac:dyDescent="0.25">
      <c r="B117" s="1"/>
      <c r="C117" s="1"/>
      <c r="D117" s="1"/>
      <c r="E117" s="1"/>
      <c r="F117" s="1"/>
      <c r="G117" s="1"/>
      <c r="H117" s="1"/>
      <c r="I117" s="1"/>
      <c r="J117" s="1"/>
      <c r="K117" s="1"/>
      <c r="L117" s="1"/>
    </row>
    <row r="118" spans="2:12" x14ac:dyDescent="0.25">
      <c r="B118" s="1"/>
      <c r="C118" s="1"/>
      <c r="D118" s="1"/>
      <c r="E118" s="1"/>
      <c r="F118" s="1"/>
      <c r="G118" s="1"/>
      <c r="H118" s="1"/>
      <c r="I118" s="1"/>
      <c r="J118" s="1"/>
      <c r="K118" s="1"/>
      <c r="L118" s="1"/>
    </row>
    <row r="119" spans="2:12" x14ac:dyDescent="0.25">
      <c r="B119" s="1"/>
      <c r="C119" s="1"/>
      <c r="D119" s="1"/>
      <c r="E119" s="1"/>
      <c r="F119" s="1"/>
      <c r="G119" s="1"/>
      <c r="H119" s="1"/>
      <c r="I119" s="1"/>
      <c r="J119" s="1"/>
      <c r="K119" s="1"/>
      <c r="L119" s="1"/>
    </row>
    <row r="120" spans="2:12" x14ac:dyDescent="0.25">
      <c r="B120" s="1"/>
      <c r="C120" s="1"/>
      <c r="D120" s="1"/>
      <c r="E120" s="1"/>
      <c r="F120" s="1"/>
      <c r="G120" s="1"/>
      <c r="H120" s="1"/>
      <c r="I120" s="1"/>
      <c r="J120" s="1"/>
      <c r="K120" s="1"/>
      <c r="L120" s="1"/>
    </row>
    <row r="121" spans="2:12" x14ac:dyDescent="0.25">
      <c r="B121" s="1"/>
      <c r="C121" s="1"/>
      <c r="D121" s="1"/>
      <c r="E121" s="1"/>
      <c r="F121" s="1"/>
      <c r="G121" s="1"/>
      <c r="H121" s="1"/>
      <c r="I121" s="1"/>
      <c r="J121" s="1"/>
      <c r="K121" s="1"/>
      <c r="L121" s="1"/>
    </row>
    <row r="122" spans="2:12" x14ac:dyDescent="0.25">
      <c r="B122" s="1"/>
      <c r="C122" s="1"/>
      <c r="D122" s="1"/>
      <c r="E122" s="1"/>
      <c r="F122" s="1"/>
      <c r="G122" s="1"/>
      <c r="H122" s="1"/>
      <c r="I122" s="1"/>
      <c r="J122" s="1"/>
      <c r="K122" s="1"/>
      <c r="L122" s="1"/>
    </row>
    <row r="123" spans="2:12" x14ac:dyDescent="0.25">
      <c r="B123" s="1"/>
      <c r="C123" s="1"/>
      <c r="D123" s="1"/>
      <c r="E123" s="1"/>
      <c r="F123" s="1"/>
      <c r="G123" s="1"/>
      <c r="H123" s="1"/>
      <c r="I123" s="1"/>
      <c r="J123" s="1"/>
      <c r="K123" s="1"/>
      <c r="L123" s="1"/>
    </row>
    <row r="124" spans="2:12" x14ac:dyDescent="0.25">
      <c r="B124" s="1"/>
      <c r="C124" s="1"/>
      <c r="D124" s="1"/>
      <c r="E124" s="1"/>
      <c r="F124" s="1"/>
      <c r="G124" s="1"/>
      <c r="H124" s="1"/>
      <c r="I124" s="1"/>
      <c r="J124" s="1"/>
      <c r="K124" s="1"/>
      <c r="L124" s="1"/>
    </row>
    <row r="125" spans="2:12" x14ac:dyDescent="0.25">
      <c r="B125" s="1"/>
      <c r="C125" s="1"/>
      <c r="D125" s="1"/>
      <c r="E125" s="1"/>
      <c r="F125" s="1"/>
      <c r="G125" s="1"/>
      <c r="H125" s="1"/>
      <c r="I125" s="1"/>
      <c r="J125" s="1"/>
      <c r="K125" s="1"/>
      <c r="L125" s="1"/>
    </row>
    <row r="126" spans="2:12" x14ac:dyDescent="0.25">
      <c r="B126" s="1"/>
      <c r="C126" s="1"/>
      <c r="D126" s="1"/>
      <c r="E126" s="1"/>
      <c r="F126" s="1"/>
      <c r="G126" s="1"/>
      <c r="H126" s="1"/>
      <c r="I126" s="1"/>
      <c r="J126" s="1"/>
      <c r="K126" s="1"/>
      <c r="L126" s="1"/>
    </row>
    <row r="127" spans="2:12" x14ac:dyDescent="0.25">
      <c r="B127" s="1"/>
      <c r="C127" s="1"/>
      <c r="D127" s="1"/>
      <c r="E127" s="1"/>
      <c r="F127" s="1"/>
      <c r="G127" s="1"/>
      <c r="H127" s="1"/>
      <c r="I127" s="1"/>
      <c r="J127" s="1"/>
      <c r="K127" s="1"/>
      <c r="L127" s="1"/>
    </row>
    <row r="128" spans="2:12" x14ac:dyDescent="0.25">
      <c r="B128" s="1"/>
      <c r="C128" s="1"/>
      <c r="D128" s="1"/>
      <c r="E128" s="1"/>
      <c r="F128" s="1"/>
      <c r="G128" s="1"/>
      <c r="H128" s="1"/>
      <c r="I128" s="1"/>
      <c r="J128" s="1"/>
      <c r="K128" s="1"/>
      <c r="L128" s="1"/>
    </row>
    <row r="129" spans="2:12" x14ac:dyDescent="0.25">
      <c r="B129" s="1"/>
      <c r="C129" s="1"/>
      <c r="D129" s="1"/>
      <c r="E129" s="1"/>
      <c r="F129" s="1"/>
      <c r="G129" s="1"/>
      <c r="H129" s="1"/>
      <c r="I129" s="1"/>
      <c r="J129" s="1"/>
      <c r="K129" s="1"/>
      <c r="L129" s="1"/>
    </row>
    <row r="130" spans="2:12" x14ac:dyDescent="0.25">
      <c r="B130" s="1"/>
      <c r="C130" s="1"/>
      <c r="D130" s="1"/>
      <c r="E130" s="1"/>
      <c r="F130" s="1"/>
      <c r="G130" s="1"/>
      <c r="H130" s="1"/>
      <c r="I130" s="1"/>
      <c r="J130" s="1"/>
      <c r="K130" s="1"/>
      <c r="L130" s="1"/>
    </row>
    <row r="131" spans="2:12" x14ac:dyDescent="0.25">
      <c r="B131" s="1"/>
      <c r="C131" s="1"/>
      <c r="D131" s="1"/>
      <c r="E131" s="1"/>
      <c r="F131" s="1"/>
      <c r="G131" s="1"/>
      <c r="H131" s="1"/>
      <c r="I131" s="1"/>
      <c r="J131" s="1"/>
      <c r="K131" s="1"/>
      <c r="L131" s="1"/>
    </row>
    <row r="132" spans="2:12" x14ac:dyDescent="0.25">
      <c r="B132" s="1"/>
      <c r="C132" s="1"/>
      <c r="D132" s="1"/>
      <c r="E132" s="1"/>
      <c r="F132" s="1"/>
      <c r="G132" s="1"/>
      <c r="H132" s="1"/>
      <c r="I132" s="1"/>
      <c r="J132" s="1"/>
      <c r="K132" s="1"/>
      <c r="L132" s="1"/>
    </row>
    <row r="133" spans="2:12" x14ac:dyDescent="0.25">
      <c r="B133" s="1"/>
      <c r="C133" s="1"/>
      <c r="D133" s="1"/>
      <c r="E133" s="1"/>
      <c r="F133" s="1"/>
      <c r="G133" s="1"/>
      <c r="H133" s="1"/>
      <c r="I133" s="1"/>
      <c r="J133" s="1"/>
      <c r="K133" s="1"/>
      <c r="L133" s="1"/>
    </row>
    <row r="134" spans="2:12" x14ac:dyDescent="0.25">
      <c r="B134" s="1"/>
      <c r="C134" s="1"/>
      <c r="D134" s="1"/>
      <c r="E134" s="1"/>
      <c r="F134" s="1"/>
      <c r="G134" s="1"/>
      <c r="H134" s="1"/>
      <c r="I134" s="1"/>
      <c r="J134" s="1"/>
      <c r="K134" s="1"/>
      <c r="L134" s="1"/>
    </row>
    <row r="135" spans="2:12" x14ac:dyDescent="0.25">
      <c r="B135" s="1"/>
      <c r="C135" s="1"/>
      <c r="D135" s="1"/>
      <c r="E135" s="1"/>
      <c r="F135" s="1"/>
      <c r="G135" s="1"/>
      <c r="H135" s="1"/>
      <c r="I135" s="1"/>
      <c r="J135" s="1"/>
      <c r="K135" s="1"/>
      <c r="L135" s="1"/>
    </row>
    <row r="136" spans="2:12" x14ac:dyDescent="0.25">
      <c r="B136" s="1"/>
      <c r="C136" s="1"/>
      <c r="D136" s="1"/>
      <c r="E136" s="1"/>
      <c r="F136" s="1"/>
      <c r="G136" s="1"/>
      <c r="H136" s="1"/>
      <c r="I136" s="1"/>
      <c r="J136" s="1"/>
      <c r="K136" s="1"/>
      <c r="L136" s="1"/>
    </row>
    <row r="137" spans="2:12" x14ac:dyDescent="0.25">
      <c r="B137" s="1"/>
      <c r="C137" s="1"/>
      <c r="D137" s="1"/>
      <c r="E137" s="1"/>
      <c r="F137" s="1"/>
      <c r="G137" s="1"/>
      <c r="H137" s="1"/>
      <c r="I137" s="1"/>
      <c r="J137" s="1"/>
      <c r="K137" s="1"/>
      <c r="L137" s="1"/>
    </row>
    <row r="138" spans="2:12" x14ac:dyDescent="0.25">
      <c r="B138" s="1"/>
      <c r="C138" s="1"/>
      <c r="D138" s="1"/>
      <c r="E138" s="1"/>
      <c r="F138" s="1"/>
      <c r="G138" s="1"/>
      <c r="H138" s="1"/>
      <c r="I138" s="1"/>
      <c r="J138" s="1"/>
      <c r="K138" s="1"/>
      <c r="L138" s="1"/>
    </row>
    <row r="139" spans="2:12" x14ac:dyDescent="0.25">
      <c r="B139" s="1"/>
      <c r="C139" s="1"/>
      <c r="D139" s="1"/>
      <c r="E139" s="1"/>
      <c r="F139" s="1"/>
      <c r="G139" s="1"/>
      <c r="H139" s="1"/>
      <c r="I139" s="1"/>
      <c r="J139" s="1"/>
      <c r="K139" s="1"/>
      <c r="L139" s="1"/>
    </row>
    <row r="140" spans="2:12" x14ac:dyDescent="0.25">
      <c r="B140" s="1"/>
      <c r="C140" s="1"/>
      <c r="D140" s="1"/>
      <c r="E140" s="1"/>
      <c r="F140" s="1"/>
      <c r="G140" s="1"/>
      <c r="H140" s="1"/>
      <c r="I140" s="1"/>
      <c r="J140" s="1"/>
      <c r="K140" s="1"/>
      <c r="L140" s="1"/>
    </row>
    <row r="141" spans="2:12" x14ac:dyDescent="0.25">
      <c r="B141" s="1"/>
      <c r="C141" s="1"/>
      <c r="D141" s="1"/>
      <c r="E141" s="1"/>
      <c r="F141" s="1"/>
      <c r="G141" s="1"/>
      <c r="H141" s="1"/>
      <c r="I141" s="1"/>
      <c r="J141" s="1"/>
      <c r="K141" s="1"/>
      <c r="L141" s="1"/>
    </row>
    <row r="142" spans="2:12" x14ac:dyDescent="0.25">
      <c r="B142" s="1"/>
      <c r="C142" s="1"/>
      <c r="D142" s="1"/>
      <c r="E142" s="1"/>
      <c r="F142" s="1"/>
      <c r="G142" s="1"/>
      <c r="H142" s="1"/>
      <c r="I142" s="1"/>
      <c r="J142" s="1"/>
      <c r="K142" s="1"/>
      <c r="L142" s="1"/>
    </row>
    <row r="143" spans="2:12" x14ac:dyDescent="0.25">
      <c r="B143" s="1"/>
      <c r="C143" s="1"/>
      <c r="D143" s="1"/>
      <c r="E143" s="1"/>
      <c r="F143" s="1"/>
      <c r="G143" s="1"/>
      <c r="H143" s="1"/>
      <c r="I143" s="1"/>
      <c r="J143" s="1"/>
      <c r="K143" s="1"/>
      <c r="L143" s="1"/>
    </row>
    <row r="144" spans="2:12" x14ac:dyDescent="0.25">
      <c r="B144" s="1"/>
      <c r="C144" s="1"/>
      <c r="D144" s="1"/>
      <c r="E144" s="1"/>
      <c r="F144" s="1"/>
      <c r="G144" s="1"/>
      <c r="H144" s="1"/>
      <c r="I144" s="1"/>
      <c r="J144" s="1"/>
      <c r="K144" s="1"/>
      <c r="L144" s="1"/>
    </row>
    <row r="145" spans="2:12" x14ac:dyDescent="0.25">
      <c r="B145" s="1"/>
      <c r="C145" s="1"/>
      <c r="D145" s="1"/>
      <c r="E145" s="1"/>
      <c r="F145" s="1"/>
      <c r="G145" s="1"/>
      <c r="H145" s="1"/>
      <c r="I145" s="1"/>
      <c r="J145" s="1"/>
      <c r="K145" s="1"/>
      <c r="L145" s="1"/>
    </row>
    <row r="146" spans="2:12" x14ac:dyDescent="0.25">
      <c r="B146" s="1"/>
      <c r="C146" s="1"/>
      <c r="D146" s="1"/>
      <c r="E146" s="1"/>
      <c r="F146" s="1"/>
      <c r="G146" s="1"/>
      <c r="H146" s="1"/>
      <c r="I146" s="1"/>
      <c r="J146" s="1"/>
      <c r="K146" s="1"/>
      <c r="L146" s="1"/>
    </row>
    <row r="147" spans="2:12" x14ac:dyDescent="0.25">
      <c r="B147" s="1"/>
      <c r="C147" s="1"/>
      <c r="D147" s="1"/>
      <c r="E147" s="1"/>
      <c r="F147" s="1"/>
      <c r="G147" s="1"/>
      <c r="H147" s="1"/>
      <c r="I147" s="1"/>
      <c r="J147" s="1"/>
      <c r="K147" s="1"/>
      <c r="L147" s="1"/>
    </row>
    <row r="148" spans="2:12" x14ac:dyDescent="0.25">
      <c r="B148" s="1"/>
      <c r="C148" s="1"/>
      <c r="D148" s="1"/>
      <c r="E148" s="1"/>
      <c r="F148" s="1"/>
      <c r="G148" s="1"/>
      <c r="H148" s="1"/>
      <c r="I148" s="1"/>
      <c r="J148" s="1"/>
      <c r="K148" s="1"/>
      <c r="L148" s="1"/>
    </row>
    <row r="149" spans="2:12" x14ac:dyDescent="0.25">
      <c r="B149" s="1"/>
      <c r="C149" s="1"/>
      <c r="D149" s="1"/>
      <c r="E149" s="1"/>
      <c r="F149" s="1"/>
      <c r="G149" s="1"/>
      <c r="H149" s="1"/>
      <c r="I149" s="1"/>
      <c r="J149" s="1"/>
      <c r="K149" s="1"/>
      <c r="L149" s="1"/>
    </row>
    <row r="150" spans="2:12" x14ac:dyDescent="0.25">
      <c r="B150" s="1"/>
      <c r="C150" s="1"/>
      <c r="D150" s="1"/>
      <c r="E150" s="1"/>
      <c r="F150" s="1"/>
      <c r="G150" s="1"/>
      <c r="H150" s="1"/>
      <c r="I150" s="1"/>
      <c r="J150" s="1"/>
      <c r="K150" s="1"/>
      <c r="L150" s="1"/>
    </row>
    <row r="151" spans="2:12" x14ac:dyDescent="0.25">
      <c r="B151" s="1"/>
      <c r="C151" s="1"/>
      <c r="D151" s="1"/>
      <c r="E151" s="1"/>
      <c r="F151" s="1"/>
      <c r="G151" s="1"/>
      <c r="H151" s="1"/>
      <c r="I151" s="1"/>
      <c r="J151" s="1"/>
      <c r="K151" s="1"/>
      <c r="L151" s="1"/>
    </row>
    <row r="152" spans="2:12" x14ac:dyDescent="0.25">
      <c r="B152" s="1"/>
      <c r="C152" s="1"/>
      <c r="D152" s="1"/>
      <c r="E152" s="1"/>
      <c r="F152" s="1"/>
      <c r="G152" s="1"/>
      <c r="H152" s="1"/>
      <c r="I152" s="1"/>
      <c r="J152" s="1"/>
      <c r="K152" s="1"/>
      <c r="L152" s="1"/>
    </row>
    <row r="153" spans="2:12" x14ac:dyDescent="0.25">
      <c r="B153" s="1"/>
      <c r="C153" s="1"/>
      <c r="D153" s="1"/>
      <c r="E153" s="1"/>
      <c r="F153" s="1"/>
      <c r="G153" s="1"/>
      <c r="H153" s="1"/>
      <c r="I153" s="1"/>
      <c r="J153" s="1"/>
      <c r="K153" s="1"/>
      <c r="L153" s="1"/>
    </row>
    <row r="154" spans="2:12" x14ac:dyDescent="0.25">
      <c r="B154" s="1"/>
      <c r="C154" s="1"/>
      <c r="D154" s="1"/>
      <c r="E154" s="1"/>
      <c r="F154" s="1"/>
      <c r="G154" s="1"/>
      <c r="H154" s="1"/>
      <c r="I154" s="1"/>
      <c r="J154" s="1"/>
      <c r="K154" s="1"/>
      <c r="L154" s="1"/>
    </row>
    <row r="155" spans="2:12" x14ac:dyDescent="0.25">
      <c r="B155" s="1"/>
      <c r="C155" s="1"/>
      <c r="D155" s="1"/>
      <c r="E155" s="1"/>
      <c r="F155" s="1"/>
      <c r="G155" s="1"/>
      <c r="H155" s="1"/>
      <c r="I155" s="1"/>
      <c r="J155" s="1"/>
      <c r="K155" s="1"/>
      <c r="L155" s="1"/>
    </row>
    <row r="156" spans="2:12" x14ac:dyDescent="0.25">
      <c r="B156" s="1"/>
      <c r="C156" s="1"/>
      <c r="D156" s="1"/>
      <c r="E156" s="1"/>
      <c r="F156" s="1"/>
      <c r="G156" s="1"/>
      <c r="H156" s="1"/>
      <c r="I156" s="1"/>
      <c r="J156" s="1"/>
      <c r="K156" s="1"/>
      <c r="L156" s="1"/>
    </row>
    <row r="157" spans="2:12" x14ac:dyDescent="0.25">
      <c r="B157" s="1"/>
      <c r="C157" s="1"/>
      <c r="D157" s="1"/>
      <c r="E157" s="1"/>
      <c r="F157" s="1"/>
      <c r="G157" s="1"/>
      <c r="H157" s="1"/>
      <c r="I157" s="1"/>
      <c r="J157" s="1"/>
      <c r="K157" s="1"/>
      <c r="L157" s="1"/>
    </row>
    <row r="158" spans="2:12" x14ac:dyDescent="0.25">
      <c r="B158" s="1"/>
      <c r="C158" s="1"/>
      <c r="D158" s="1"/>
      <c r="E158" s="1"/>
      <c r="F158" s="1"/>
      <c r="G158" s="1"/>
      <c r="H158" s="1"/>
      <c r="I158" s="1"/>
      <c r="J158" s="1"/>
      <c r="K158" s="1"/>
      <c r="L158" s="1"/>
    </row>
    <row r="159" spans="2:12" x14ac:dyDescent="0.25">
      <c r="B159" s="1"/>
      <c r="C159" s="1"/>
      <c r="D159" s="1"/>
      <c r="E159" s="1"/>
      <c r="F159" s="1"/>
      <c r="G159" s="1"/>
      <c r="H159" s="1"/>
      <c r="I159" s="1"/>
      <c r="J159" s="1"/>
      <c r="K159" s="1"/>
      <c r="L159" s="1"/>
    </row>
    <row r="160" spans="2:12" x14ac:dyDescent="0.25">
      <c r="B160" s="1"/>
      <c r="C160" s="1"/>
      <c r="D160" s="1"/>
      <c r="E160" s="1"/>
      <c r="F160" s="1"/>
      <c r="G160" s="1"/>
      <c r="H160" s="1"/>
      <c r="I160" s="1"/>
      <c r="J160" s="1"/>
      <c r="K160" s="1"/>
      <c r="L160" s="1"/>
    </row>
    <row r="161" spans="2:12" x14ac:dyDescent="0.25">
      <c r="B161" s="1"/>
      <c r="C161" s="1"/>
      <c r="D161" s="1"/>
      <c r="E161" s="1"/>
      <c r="F161" s="1"/>
      <c r="G161" s="1"/>
      <c r="H161" s="1"/>
      <c r="I161" s="1"/>
      <c r="J161" s="1"/>
      <c r="K161" s="1"/>
      <c r="L161" s="1"/>
    </row>
    <row r="162" spans="2:12" x14ac:dyDescent="0.25">
      <c r="B162" s="1"/>
      <c r="C162" s="1"/>
      <c r="D162" s="1"/>
      <c r="E162" s="1"/>
      <c r="F162" s="1"/>
      <c r="G162" s="1"/>
      <c r="H162" s="1"/>
      <c r="I162" s="1"/>
      <c r="J162" s="1"/>
      <c r="K162" s="1"/>
      <c r="L162" s="1"/>
    </row>
    <row r="163" spans="2:12" x14ac:dyDescent="0.25">
      <c r="B163" s="1"/>
      <c r="C163" s="1"/>
      <c r="D163" s="1"/>
      <c r="E163" s="1"/>
      <c r="F163" s="1"/>
      <c r="G163" s="1"/>
      <c r="H163" s="1"/>
      <c r="I163" s="1"/>
      <c r="J163" s="1"/>
      <c r="K163" s="1"/>
      <c r="L163" s="1"/>
    </row>
    <row r="164" spans="2:12" x14ac:dyDescent="0.25">
      <c r="B164" s="1"/>
      <c r="C164" s="1"/>
      <c r="D164" s="1"/>
      <c r="E164" s="1"/>
      <c r="F164" s="1"/>
      <c r="G164" s="1"/>
      <c r="H164" s="1"/>
      <c r="I164" s="1"/>
      <c r="J164" s="1"/>
      <c r="K164" s="1"/>
      <c r="L164" s="1"/>
    </row>
    <row r="165" spans="2:12" x14ac:dyDescent="0.25">
      <c r="B165" s="1"/>
      <c r="C165" s="1"/>
      <c r="D165" s="1"/>
      <c r="E165" s="1"/>
      <c r="F165" s="1"/>
      <c r="G165" s="1"/>
      <c r="H165" s="1"/>
      <c r="I165" s="1"/>
      <c r="J165" s="1"/>
      <c r="K165" s="1"/>
      <c r="L165" s="1"/>
    </row>
    <row r="166" spans="2:12" x14ac:dyDescent="0.25">
      <c r="B166" s="1"/>
      <c r="C166" s="1"/>
      <c r="D166" s="1"/>
      <c r="E166" s="1"/>
      <c r="F166" s="1"/>
      <c r="G166" s="1"/>
      <c r="H166" s="1"/>
      <c r="I166" s="1"/>
      <c r="J166" s="1"/>
      <c r="K166" s="1"/>
      <c r="L166" s="1"/>
    </row>
    <row r="167" spans="2:12" x14ac:dyDescent="0.25">
      <c r="B167" s="1"/>
      <c r="C167" s="1"/>
      <c r="D167" s="1"/>
      <c r="E167" s="1"/>
      <c r="F167" s="1"/>
      <c r="G167" s="1"/>
      <c r="H167" s="1"/>
      <c r="I167" s="1"/>
      <c r="J167" s="1"/>
      <c r="K167" s="1"/>
      <c r="L167" s="1"/>
    </row>
    <row r="168" spans="2:12" x14ac:dyDescent="0.25">
      <c r="B168" s="1"/>
      <c r="C168" s="1"/>
      <c r="D168" s="1"/>
      <c r="E168" s="1"/>
      <c r="F168" s="1"/>
      <c r="G168" s="1"/>
      <c r="H168" s="1"/>
      <c r="I168" s="1"/>
      <c r="J168" s="1"/>
      <c r="K168" s="1"/>
      <c r="L168" s="1"/>
    </row>
    <row r="169" spans="2:12" x14ac:dyDescent="0.25">
      <c r="B169" s="1"/>
      <c r="C169" s="1"/>
      <c r="D169" s="1"/>
      <c r="E169" s="1"/>
      <c r="F169" s="1"/>
      <c r="G169" s="1"/>
      <c r="H169" s="1"/>
      <c r="I169" s="1"/>
      <c r="J169" s="1"/>
      <c r="K169" s="1"/>
      <c r="L169" s="1"/>
    </row>
    <row r="170" spans="2:12" x14ac:dyDescent="0.25">
      <c r="B170" s="1"/>
      <c r="C170" s="1"/>
      <c r="D170" s="1"/>
      <c r="E170" s="1"/>
      <c r="F170" s="1"/>
      <c r="G170" s="1"/>
      <c r="H170" s="1"/>
      <c r="I170" s="1"/>
      <c r="J170" s="1"/>
      <c r="K170" s="1"/>
      <c r="L170" s="1"/>
    </row>
    <row r="171" spans="2:12" x14ac:dyDescent="0.25">
      <c r="B171" s="1"/>
      <c r="C171" s="1"/>
      <c r="D171" s="1"/>
      <c r="E171" s="1"/>
      <c r="F171" s="1"/>
      <c r="G171" s="1"/>
      <c r="H171" s="1"/>
      <c r="I171" s="1"/>
      <c r="J171" s="1"/>
      <c r="K171" s="1"/>
      <c r="L171" s="1"/>
    </row>
    <row r="172" spans="2:12" x14ac:dyDescent="0.25">
      <c r="B172" s="1"/>
      <c r="C172" s="1"/>
      <c r="D172" s="1"/>
      <c r="E172" s="1"/>
      <c r="F172" s="1"/>
      <c r="G172" s="1"/>
      <c r="H172" s="1"/>
      <c r="I172" s="1"/>
      <c r="J172" s="1"/>
      <c r="K172" s="1"/>
      <c r="L172" s="1"/>
    </row>
    <row r="173" spans="2:12" x14ac:dyDescent="0.25">
      <c r="B173" s="1"/>
      <c r="C173" s="1"/>
      <c r="D173" s="1"/>
      <c r="E173" s="1"/>
      <c r="F173" s="1"/>
      <c r="G173" s="1"/>
      <c r="H173" s="1"/>
      <c r="I173" s="1"/>
      <c r="J173" s="1"/>
      <c r="K173" s="1"/>
      <c r="L173" s="1"/>
    </row>
    <row r="174" spans="2:12" x14ac:dyDescent="0.25">
      <c r="B174" s="1"/>
      <c r="C174" s="1"/>
      <c r="D174" s="1"/>
      <c r="E174" s="1"/>
      <c r="F174" s="1"/>
      <c r="G174" s="1"/>
      <c r="H174" s="1"/>
      <c r="I174" s="1"/>
      <c r="J174" s="1"/>
      <c r="K174" s="1"/>
      <c r="L174" s="1"/>
    </row>
    <row r="175" spans="2:12" x14ac:dyDescent="0.25">
      <c r="B175" s="1"/>
      <c r="C175" s="1"/>
      <c r="D175" s="1"/>
      <c r="E175" s="1"/>
      <c r="F175" s="1"/>
      <c r="G175" s="1"/>
      <c r="H175" s="1"/>
      <c r="I175" s="1"/>
      <c r="J175" s="1"/>
      <c r="K175" s="1"/>
      <c r="L175" s="1"/>
    </row>
    <row r="176" spans="2:12" x14ac:dyDescent="0.25">
      <c r="B176" s="1"/>
      <c r="C176" s="1"/>
      <c r="D176" s="1"/>
      <c r="E176" s="1"/>
      <c r="F176" s="1"/>
      <c r="G176" s="1"/>
      <c r="H176" s="1"/>
      <c r="I176" s="1"/>
      <c r="J176" s="1"/>
      <c r="K176" s="1"/>
      <c r="L176" s="1"/>
    </row>
    <row r="177" spans="2:12" x14ac:dyDescent="0.25">
      <c r="B177" s="1"/>
      <c r="C177" s="1"/>
      <c r="D177" s="1"/>
      <c r="E177" s="1"/>
      <c r="F177" s="1"/>
      <c r="G177" s="1"/>
      <c r="H177" s="1"/>
      <c r="I177" s="1"/>
      <c r="J177" s="1"/>
      <c r="K177" s="1"/>
      <c r="L177" s="1"/>
    </row>
    <row r="178" spans="2:12" x14ac:dyDescent="0.25">
      <c r="B178" s="1"/>
      <c r="C178" s="1"/>
      <c r="D178" s="1"/>
      <c r="E178" s="1"/>
      <c r="F178" s="1"/>
      <c r="G178" s="1"/>
      <c r="H178" s="1"/>
      <c r="I178" s="1"/>
      <c r="J178" s="1"/>
      <c r="K178" s="1"/>
      <c r="L178" s="1"/>
    </row>
    <row r="179" spans="2:12" x14ac:dyDescent="0.25">
      <c r="B179" s="1"/>
      <c r="C179" s="1"/>
      <c r="D179" s="1"/>
      <c r="E179" s="1"/>
      <c r="F179" s="1"/>
      <c r="G179" s="1"/>
      <c r="H179" s="1"/>
      <c r="I179" s="1"/>
      <c r="J179" s="1"/>
      <c r="K179" s="1"/>
      <c r="L179" s="1"/>
    </row>
    <row r="180" spans="2:12" x14ac:dyDescent="0.25">
      <c r="B180" s="1"/>
      <c r="C180" s="1"/>
      <c r="D180" s="1"/>
      <c r="E180" s="1"/>
      <c r="F180" s="1"/>
      <c r="G180" s="1"/>
      <c r="H180" s="1"/>
      <c r="I180" s="1"/>
      <c r="J180" s="1"/>
      <c r="K180" s="1"/>
      <c r="L180" s="1"/>
    </row>
    <row r="181" spans="2:12" x14ac:dyDescent="0.25">
      <c r="B181" s="1"/>
      <c r="C181" s="1"/>
      <c r="D181" s="1"/>
      <c r="E181" s="1"/>
      <c r="F181" s="1"/>
      <c r="G181" s="1"/>
      <c r="H181" s="1"/>
      <c r="I181" s="1"/>
      <c r="J181" s="1"/>
      <c r="K181" s="1"/>
      <c r="L181" s="1"/>
    </row>
    <row r="182" spans="2:12" x14ac:dyDescent="0.25">
      <c r="B182" s="1"/>
      <c r="C182" s="1"/>
      <c r="D182" s="1"/>
      <c r="E182" s="1"/>
      <c r="F182" s="1"/>
      <c r="G182" s="1"/>
      <c r="H182" s="1"/>
      <c r="I182" s="1"/>
      <c r="J182" s="1"/>
      <c r="K182" s="1"/>
      <c r="L182" s="1"/>
    </row>
    <row r="183" spans="2:12" x14ac:dyDescent="0.25">
      <c r="B183" s="1"/>
      <c r="C183" s="1"/>
      <c r="D183" s="1"/>
      <c r="E183" s="1"/>
      <c r="F183" s="1"/>
      <c r="G183" s="1"/>
      <c r="H183" s="1"/>
      <c r="I183" s="1"/>
      <c r="J183" s="1"/>
      <c r="K183" s="1"/>
      <c r="L183" s="1"/>
    </row>
    <row r="184" spans="2:12" x14ac:dyDescent="0.25">
      <c r="B184" s="1"/>
      <c r="C184" s="1"/>
      <c r="D184" s="1"/>
      <c r="E184" s="1"/>
      <c r="F184" s="1"/>
      <c r="G184" s="1"/>
      <c r="H184" s="1"/>
      <c r="I184" s="1"/>
      <c r="J184" s="1"/>
      <c r="K184" s="1"/>
      <c r="L184" s="1"/>
    </row>
    <row r="185" spans="2:12" x14ac:dyDescent="0.25">
      <c r="B185" s="1"/>
      <c r="C185" s="1"/>
      <c r="D185" s="1"/>
      <c r="E185" s="1"/>
      <c r="F185" s="1"/>
      <c r="G185" s="1"/>
      <c r="H185" s="1"/>
      <c r="I185" s="1"/>
      <c r="J185" s="1"/>
      <c r="K185" s="1"/>
      <c r="L185" s="1"/>
    </row>
    <row r="186" spans="2:12" x14ac:dyDescent="0.25">
      <c r="B186" s="1"/>
      <c r="C186" s="1"/>
      <c r="D186" s="1"/>
      <c r="E186" s="1"/>
      <c r="F186" s="1"/>
      <c r="G186" s="1"/>
      <c r="H186" s="1"/>
      <c r="I186" s="1"/>
      <c r="J186" s="1"/>
      <c r="K186" s="1"/>
      <c r="L186" s="1"/>
    </row>
    <row r="187" spans="2:12" x14ac:dyDescent="0.25">
      <c r="B187" s="1"/>
      <c r="C187" s="1"/>
      <c r="D187" s="1"/>
      <c r="E187" s="1"/>
      <c r="F187" s="1"/>
      <c r="G187" s="1"/>
      <c r="H187" s="1"/>
      <c r="I187" s="1"/>
      <c r="J187" s="1"/>
      <c r="K187" s="1"/>
      <c r="L187" s="1"/>
    </row>
    <row r="188" spans="2:12" x14ac:dyDescent="0.25">
      <c r="B188" s="1"/>
      <c r="C188" s="1"/>
      <c r="D188" s="1"/>
      <c r="E188" s="1"/>
      <c r="F188" s="1"/>
      <c r="G188" s="1"/>
      <c r="H188" s="1"/>
      <c r="I188" s="1"/>
      <c r="J188" s="1"/>
      <c r="K188" s="1"/>
      <c r="L188" s="1"/>
    </row>
    <row r="189" spans="2:12" x14ac:dyDescent="0.25">
      <c r="B189" s="1"/>
      <c r="C189" s="1"/>
      <c r="D189" s="1"/>
      <c r="E189" s="1"/>
      <c r="F189" s="1"/>
      <c r="G189" s="1"/>
      <c r="H189" s="1"/>
      <c r="I189" s="1"/>
      <c r="J189" s="1"/>
      <c r="K189" s="1"/>
      <c r="L189" s="1"/>
    </row>
    <row r="190" spans="2:12" x14ac:dyDescent="0.25">
      <c r="B190" s="1"/>
      <c r="C190" s="1"/>
      <c r="D190" s="1"/>
      <c r="E190" s="1"/>
      <c r="F190" s="1"/>
      <c r="G190" s="1"/>
      <c r="H190" s="1"/>
      <c r="I190" s="1"/>
      <c r="J190" s="1"/>
      <c r="K190" s="1"/>
      <c r="L190" s="1"/>
    </row>
    <row r="191" spans="2:12" x14ac:dyDescent="0.25">
      <c r="B191" s="1"/>
      <c r="C191" s="1"/>
      <c r="D191" s="1"/>
      <c r="E191" s="1"/>
      <c r="F191" s="1"/>
      <c r="G191" s="1"/>
      <c r="H191" s="1"/>
      <c r="I191" s="1"/>
      <c r="J191" s="1"/>
      <c r="K191" s="1"/>
      <c r="L191" s="1"/>
    </row>
    <row r="192" spans="2:12" x14ac:dyDescent="0.25">
      <c r="B192" s="1"/>
      <c r="C192" s="1"/>
      <c r="D192" s="1"/>
      <c r="E192" s="1"/>
      <c r="F192" s="1"/>
      <c r="G192" s="1"/>
      <c r="H192" s="1"/>
      <c r="I192" s="1"/>
      <c r="J192" s="1"/>
      <c r="K192" s="1"/>
      <c r="L192" s="1"/>
    </row>
    <row r="193" spans="2:12" x14ac:dyDescent="0.25">
      <c r="B193" s="1"/>
      <c r="C193" s="1"/>
      <c r="D193" s="1"/>
      <c r="E193" s="1"/>
      <c r="F193" s="1"/>
      <c r="G193" s="1"/>
      <c r="H193" s="1"/>
      <c r="I193" s="1"/>
      <c r="J193" s="1"/>
      <c r="K193" s="1"/>
      <c r="L193" s="1"/>
    </row>
    <row r="194" spans="2:12" x14ac:dyDescent="0.25">
      <c r="B194" s="1"/>
      <c r="C194" s="1"/>
      <c r="D194" s="1"/>
      <c r="E194" s="1"/>
      <c r="F194" s="1"/>
      <c r="G194" s="1"/>
      <c r="H194" s="1"/>
      <c r="I194" s="1"/>
      <c r="J194" s="1"/>
      <c r="K194" s="1"/>
      <c r="L194" s="1"/>
    </row>
    <row r="195" spans="2:12" x14ac:dyDescent="0.25">
      <c r="B195" s="1"/>
      <c r="C195" s="1"/>
      <c r="D195" s="1"/>
      <c r="E195" s="1"/>
      <c r="F195" s="1"/>
      <c r="G195" s="1"/>
      <c r="H195" s="1"/>
      <c r="I195" s="1"/>
      <c r="J195" s="1"/>
      <c r="K195" s="1"/>
      <c r="L195" s="1"/>
    </row>
    <row r="196" spans="2:12" x14ac:dyDescent="0.25">
      <c r="B196" s="1"/>
      <c r="C196" s="1"/>
      <c r="D196" s="1"/>
      <c r="E196" s="1"/>
      <c r="F196" s="1"/>
      <c r="G196" s="1"/>
      <c r="H196" s="1"/>
      <c r="I196" s="1"/>
      <c r="J196" s="1"/>
      <c r="K196" s="1"/>
      <c r="L196" s="1"/>
    </row>
    <row r="197" spans="2:12" x14ac:dyDescent="0.25">
      <c r="B197" s="1"/>
      <c r="C197" s="1"/>
      <c r="D197" s="1"/>
      <c r="E197" s="1"/>
      <c r="F197" s="1"/>
      <c r="G197" s="1"/>
      <c r="H197" s="1"/>
      <c r="I197" s="1"/>
      <c r="J197" s="1"/>
      <c r="K197" s="1"/>
      <c r="L197" s="1"/>
    </row>
    <row r="198" spans="2:12" x14ac:dyDescent="0.25">
      <c r="B198" s="1"/>
      <c r="C198" s="1"/>
      <c r="D198" s="1"/>
      <c r="E198" s="1"/>
      <c r="F198" s="1"/>
      <c r="G198" s="1"/>
      <c r="H198" s="1"/>
      <c r="I198" s="1"/>
      <c r="J198" s="1"/>
      <c r="K198" s="1"/>
      <c r="L198" s="1"/>
    </row>
    <row r="199" spans="2:12" x14ac:dyDescent="0.25">
      <c r="B199" s="1"/>
      <c r="C199" s="1"/>
      <c r="D199" s="1"/>
      <c r="E199" s="1"/>
      <c r="F199" s="1"/>
      <c r="G199" s="1"/>
      <c r="H199" s="1"/>
      <c r="I199" s="1"/>
      <c r="J199" s="1"/>
      <c r="K199" s="1"/>
      <c r="L199" s="1"/>
    </row>
    <row r="200" spans="2:12" x14ac:dyDescent="0.25">
      <c r="B200" s="1"/>
      <c r="C200" s="1"/>
      <c r="D200" s="1"/>
      <c r="E200" s="1"/>
      <c r="F200" s="1"/>
      <c r="G200" s="1"/>
      <c r="H200" s="1"/>
      <c r="I200" s="1"/>
      <c r="J200" s="1"/>
      <c r="K200" s="1"/>
      <c r="L200" s="1"/>
    </row>
    <row r="201" spans="2:12" x14ac:dyDescent="0.25">
      <c r="B201" s="1"/>
      <c r="C201" s="1"/>
      <c r="D201" s="1"/>
      <c r="E201" s="1"/>
      <c r="F201" s="1"/>
      <c r="G201" s="1"/>
      <c r="H201" s="1"/>
      <c r="I201" s="1"/>
      <c r="J201" s="1"/>
      <c r="K201" s="1"/>
      <c r="L201" s="1"/>
    </row>
    <row r="202" spans="2:12" x14ac:dyDescent="0.25">
      <c r="B202" s="1"/>
      <c r="C202" s="1"/>
      <c r="D202" s="1"/>
      <c r="E202" s="1"/>
      <c r="F202" s="1"/>
      <c r="G202" s="1"/>
      <c r="H202" s="1"/>
      <c r="I202" s="1"/>
      <c r="J202" s="1"/>
      <c r="K202" s="1"/>
      <c r="L202" s="1"/>
    </row>
    <row r="203" spans="2:12" x14ac:dyDescent="0.25">
      <c r="B203" s="1"/>
      <c r="C203" s="1"/>
      <c r="D203" s="1"/>
      <c r="E203" s="1"/>
      <c r="F203" s="1"/>
      <c r="G203" s="1"/>
      <c r="H203" s="1"/>
      <c r="I203" s="1"/>
      <c r="J203" s="1"/>
      <c r="K203" s="1"/>
      <c r="L203" s="1"/>
    </row>
    <row r="204" spans="2:12" x14ac:dyDescent="0.25">
      <c r="B204" s="1"/>
      <c r="C204" s="1"/>
      <c r="D204" s="1"/>
      <c r="E204" s="1"/>
      <c r="F204" s="1"/>
      <c r="G204" s="1"/>
      <c r="H204" s="1"/>
      <c r="I204" s="1"/>
      <c r="J204" s="1"/>
      <c r="K204" s="1"/>
      <c r="L204" s="1"/>
    </row>
    <row r="205" spans="2:12" x14ac:dyDescent="0.25">
      <c r="B205" s="1"/>
      <c r="C205" s="1"/>
      <c r="D205" s="1"/>
      <c r="E205" s="1"/>
      <c r="F205" s="1"/>
      <c r="G205" s="1"/>
      <c r="H205" s="1"/>
      <c r="I205" s="1"/>
      <c r="J205" s="1"/>
      <c r="K205" s="1"/>
      <c r="L205" s="1"/>
    </row>
    <row r="206" spans="2:12" x14ac:dyDescent="0.25">
      <c r="B206" s="1"/>
      <c r="C206" s="1"/>
      <c r="D206" s="1"/>
      <c r="E206" s="1"/>
      <c r="F206" s="1"/>
      <c r="G206" s="1"/>
      <c r="H206" s="1"/>
      <c r="I206" s="1"/>
      <c r="J206" s="1"/>
      <c r="K206" s="1"/>
      <c r="L206" s="1"/>
    </row>
    <row r="207" spans="2:12" x14ac:dyDescent="0.25">
      <c r="B207" s="1"/>
      <c r="C207" s="1"/>
      <c r="D207" s="1"/>
      <c r="E207" s="1"/>
      <c r="F207" s="1"/>
      <c r="G207" s="1"/>
      <c r="H207" s="1"/>
      <c r="I207" s="1"/>
      <c r="J207" s="1"/>
      <c r="K207" s="1"/>
      <c r="L207" s="1"/>
    </row>
    <row r="208" spans="2:12" x14ac:dyDescent="0.25">
      <c r="B208" s="1"/>
      <c r="C208" s="1"/>
      <c r="D208" s="1"/>
      <c r="E208" s="1"/>
      <c r="F208" s="1"/>
      <c r="G208" s="1"/>
      <c r="H208" s="1"/>
      <c r="I208" s="1"/>
      <c r="J208" s="1"/>
      <c r="K208" s="1"/>
      <c r="L208" s="1"/>
    </row>
    <row r="209" spans="2:12" x14ac:dyDescent="0.25">
      <c r="B209" s="1"/>
      <c r="C209" s="1"/>
      <c r="D209" s="1"/>
      <c r="E209" s="1"/>
      <c r="F209" s="1"/>
      <c r="G209" s="1"/>
      <c r="H209" s="1"/>
      <c r="I209" s="1"/>
      <c r="J209" s="1"/>
      <c r="K209" s="1"/>
      <c r="L209" s="1"/>
    </row>
    <row r="210" spans="2:12" x14ac:dyDescent="0.25">
      <c r="B210" s="1"/>
      <c r="C210" s="1"/>
      <c r="D210" s="1"/>
      <c r="E210" s="1"/>
      <c r="F210" s="1"/>
      <c r="G210" s="1"/>
      <c r="H210" s="1"/>
      <c r="I210" s="1"/>
      <c r="J210" s="1"/>
      <c r="K210" s="1"/>
      <c r="L210" s="1"/>
    </row>
    <row r="211" spans="2:12" x14ac:dyDescent="0.25">
      <c r="B211" s="1"/>
      <c r="C211" s="1"/>
      <c r="D211" s="1"/>
      <c r="E211" s="1"/>
      <c r="F211" s="1"/>
      <c r="G211" s="1"/>
      <c r="H211" s="1"/>
      <c r="I211" s="1"/>
      <c r="J211" s="1"/>
      <c r="K211" s="1"/>
      <c r="L211" s="1"/>
    </row>
    <row r="212" spans="2:12" x14ac:dyDescent="0.25">
      <c r="B212" s="1"/>
      <c r="C212" s="1"/>
      <c r="D212" s="1"/>
      <c r="E212" s="1"/>
      <c r="F212" s="1"/>
      <c r="G212" s="1"/>
      <c r="H212" s="1"/>
      <c r="I212" s="1"/>
      <c r="J212" s="1"/>
      <c r="K212" s="1"/>
      <c r="L212" s="1"/>
    </row>
    <row r="213" spans="2:12" x14ac:dyDescent="0.25">
      <c r="B213" s="1"/>
      <c r="C213" s="1"/>
      <c r="D213" s="1"/>
      <c r="E213" s="1"/>
      <c r="F213" s="1"/>
      <c r="G213" s="1"/>
      <c r="H213" s="1"/>
      <c r="I213" s="1"/>
      <c r="J213" s="1"/>
      <c r="K213" s="1"/>
      <c r="L213" s="1"/>
    </row>
    <row r="214" spans="2:12" x14ac:dyDescent="0.25">
      <c r="B214" s="1"/>
      <c r="C214" s="1"/>
      <c r="D214" s="1"/>
      <c r="E214" s="1"/>
      <c r="F214" s="1"/>
      <c r="G214" s="1"/>
      <c r="H214" s="1"/>
      <c r="I214" s="1"/>
      <c r="J214" s="1"/>
      <c r="K214" s="1"/>
      <c r="L214" s="1"/>
    </row>
    <row r="215" spans="2:12" x14ac:dyDescent="0.25">
      <c r="B215" s="1"/>
      <c r="C215" s="1"/>
      <c r="D215" s="1"/>
      <c r="E215" s="1"/>
      <c r="F215" s="1"/>
      <c r="G215" s="1"/>
      <c r="H215" s="1"/>
      <c r="I215" s="1"/>
      <c r="J215" s="1"/>
      <c r="K215" s="1"/>
      <c r="L215" s="1"/>
    </row>
    <row r="216" spans="2:12" x14ac:dyDescent="0.25">
      <c r="B216" s="1"/>
      <c r="C216" s="1"/>
      <c r="D216" s="1"/>
      <c r="E216" s="1"/>
      <c r="F216" s="1"/>
      <c r="G216" s="1"/>
      <c r="H216" s="1"/>
      <c r="I216" s="1"/>
      <c r="J216" s="1"/>
      <c r="K216" s="1"/>
      <c r="L216" s="1"/>
    </row>
    <row r="217" spans="2:12" x14ac:dyDescent="0.25">
      <c r="B217" s="1"/>
      <c r="C217" s="1"/>
      <c r="D217" s="1"/>
      <c r="E217" s="1"/>
      <c r="F217" s="1"/>
      <c r="G217" s="1"/>
      <c r="H217" s="1"/>
      <c r="I217" s="1"/>
      <c r="J217" s="1"/>
      <c r="K217" s="1"/>
      <c r="L217" s="1"/>
    </row>
    <row r="218" spans="2:12" x14ac:dyDescent="0.25">
      <c r="B218" s="1"/>
      <c r="C218" s="1"/>
      <c r="D218" s="1"/>
      <c r="E218" s="1"/>
      <c r="F218" s="1"/>
      <c r="G218" s="1"/>
      <c r="H218" s="1"/>
      <c r="I218" s="1"/>
      <c r="J218" s="1"/>
      <c r="K218" s="1"/>
      <c r="L218" s="1"/>
    </row>
    <row r="219" spans="2:12" x14ac:dyDescent="0.25">
      <c r="B219" s="1"/>
      <c r="C219" s="1"/>
      <c r="D219" s="1"/>
      <c r="E219" s="1"/>
      <c r="F219" s="1"/>
      <c r="G219" s="1"/>
      <c r="H219" s="1"/>
      <c r="I219" s="1"/>
      <c r="J219" s="1"/>
      <c r="K219" s="1"/>
      <c r="L219" s="1"/>
    </row>
    <row r="220" spans="2:12" x14ac:dyDescent="0.25">
      <c r="B220" s="1"/>
      <c r="C220" s="1"/>
      <c r="D220" s="1"/>
      <c r="E220" s="1"/>
      <c r="F220" s="1"/>
      <c r="G220" s="1"/>
      <c r="H220" s="1"/>
      <c r="I220" s="1"/>
      <c r="J220" s="1"/>
      <c r="K220" s="1"/>
      <c r="L220" s="1"/>
    </row>
    <row r="221" spans="2:12" x14ac:dyDescent="0.25">
      <c r="B221" s="1"/>
      <c r="C221" s="1"/>
      <c r="D221" s="1"/>
      <c r="E221" s="1"/>
      <c r="F221" s="1"/>
      <c r="G221" s="1"/>
      <c r="H221" s="1"/>
      <c r="I221" s="1"/>
      <c r="J221" s="1"/>
      <c r="K221" s="1"/>
      <c r="L221" s="1"/>
    </row>
    <row r="222" spans="2:12" x14ac:dyDescent="0.25">
      <c r="B222" s="1"/>
      <c r="C222" s="1"/>
      <c r="D222" s="1"/>
      <c r="E222" s="1"/>
      <c r="F222" s="1"/>
      <c r="G222" s="1"/>
      <c r="H222" s="1"/>
      <c r="I222" s="1"/>
      <c r="J222" s="1"/>
      <c r="K222" s="1"/>
      <c r="L222" s="1"/>
    </row>
    <row r="223" spans="2:12" x14ac:dyDescent="0.25">
      <c r="B223" s="1"/>
      <c r="C223" s="1"/>
      <c r="D223" s="1"/>
      <c r="E223" s="1"/>
      <c r="F223" s="1"/>
      <c r="G223" s="1"/>
      <c r="H223" s="1"/>
      <c r="I223" s="1"/>
      <c r="J223" s="1"/>
      <c r="K223" s="1"/>
      <c r="L223" s="1"/>
    </row>
    <row r="224" spans="2:12" x14ac:dyDescent="0.25">
      <c r="B224" s="1"/>
      <c r="C224" s="1"/>
      <c r="D224" s="1"/>
      <c r="E224" s="1"/>
      <c r="F224" s="1"/>
      <c r="G224" s="1"/>
      <c r="H224" s="1"/>
      <c r="I224" s="1"/>
      <c r="J224" s="1"/>
      <c r="K224" s="1"/>
      <c r="L224" s="1"/>
    </row>
    <row r="225" spans="2:12" x14ac:dyDescent="0.25">
      <c r="B225" s="1"/>
      <c r="C225" s="1"/>
      <c r="D225" s="1"/>
      <c r="E225" s="1"/>
      <c r="F225" s="1"/>
      <c r="G225" s="1"/>
      <c r="H225" s="1"/>
      <c r="I225" s="1"/>
      <c r="J225" s="1"/>
      <c r="K225" s="1"/>
      <c r="L225" s="1"/>
    </row>
    <row r="226" spans="2:12" x14ac:dyDescent="0.25">
      <c r="B226" s="1"/>
      <c r="C226" s="1"/>
      <c r="D226" s="1"/>
      <c r="E226" s="1"/>
      <c r="F226" s="1"/>
      <c r="G226" s="1"/>
      <c r="H226" s="1"/>
      <c r="I226" s="1"/>
      <c r="J226" s="1"/>
      <c r="K226" s="1"/>
      <c r="L226" s="1"/>
    </row>
    <row r="227" spans="2:12" x14ac:dyDescent="0.25">
      <c r="B227" s="1"/>
      <c r="C227" s="1"/>
      <c r="D227" s="1"/>
      <c r="E227" s="1"/>
      <c r="F227" s="1"/>
      <c r="G227" s="1"/>
      <c r="H227" s="1"/>
      <c r="I227" s="1"/>
      <c r="J227" s="1"/>
      <c r="K227" s="1"/>
      <c r="L227" s="1"/>
    </row>
    <row r="228" spans="2:12" x14ac:dyDescent="0.25">
      <c r="B228" s="1"/>
      <c r="C228" s="1"/>
      <c r="D228" s="1"/>
      <c r="E228" s="1"/>
      <c r="F228" s="1"/>
      <c r="G228" s="1"/>
      <c r="H228" s="1"/>
      <c r="I228" s="1"/>
      <c r="J228" s="1"/>
      <c r="K228" s="1"/>
      <c r="L228" s="1"/>
    </row>
    <row r="229" spans="2:12" x14ac:dyDescent="0.25">
      <c r="B229" s="1"/>
      <c r="C229" s="1"/>
      <c r="D229" s="1"/>
      <c r="E229" s="1"/>
      <c r="F229" s="1"/>
      <c r="G229" s="1"/>
      <c r="H229" s="1"/>
      <c r="I229" s="1"/>
      <c r="J229" s="1"/>
      <c r="K229" s="1"/>
      <c r="L229" s="1"/>
    </row>
    <row r="230" spans="2:12" x14ac:dyDescent="0.25">
      <c r="B230" s="1"/>
      <c r="C230" s="1"/>
      <c r="D230" s="1"/>
      <c r="E230" s="1"/>
      <c r="F230" s="1"/>
      <c r="G230" s="1"/>
      <c r="H230" s="1"/>
      <c r="I230" s="1"/>
      <c r="J230" s="1"/>
      <c r="K230" s="1"/>
      <c r="L230" s="1"/>
    </row>
    <row r="231" spans="2:12" x14ac:dyDescent="0.25">
      <c r="B231" s="1"/>
      <c r="C231" s="1"/>
      <c r="D231" s="1"/>
      <c r="E231" s="1"/>
      <c r="F231" s="1"/>
      <c r="G231" s="1"/>
      <c r="H231" s="1"/>
      <c r="I231" s="1"/>
      <c r="J231" s="1"/>
      <c r="K231" s="1"/>
      <c r="L231" s="1"/>
    </row>
    <row r="232" spans="2:12" x14ac:dyDescent="0.25">
      <c r="B232" s="1"/>
      <c r="C232" s="1"/>
      <c r="D232" s="1"/>
      <c r="E232" s="1"/>
      <c r="F232" s="1"/>
      <c r="G232" s="1"/>
      <c r="H232" s="1"/>
      <c r="I232" s="1"/>
      <c r="J232" s="1"/>
      <c r="K232" s="1"/>
      <c r="L232" s="1"/>
    </row>
    <row r="233" spans="2:12" x14ac:dyDescent="0.25">
      <c r="B233" s="1"/>
      <c r="C233" s="1"/>
      <c r="D233" s="1"/>
      <c r="E233" s="1"/>
      <c r="F233" s="1"/>
      <c r="G233" s="1"/>
      <c r="H233" s="1"/>
      <c r="I233" s="1"/>
      <c r="J233" s="1"/>
      <c r="K233" s="1"/>
      <c r="L233" s="1"/>
    </row>
    <row r="234" spans="2:12" x14ac:dyDescent="0.25">
      <c r="B234" s="1"/>
      <c r="C234" s="1"/>
      <c r="D234" s="1"/>
      <c r="E234" s="1"/>
      <c r="F234" s="1"/>
      <c r="G234" s="1"/>
      <c r="H234" s="1"/>
      <c r="I234" s="1"/>
      <c r="J234" s="1"/>
      <c r="K234" s="1"/>
      <c r="L234" s="1"/>
    </row>
    <row r="235" spans="2:12" x14ac:dyDescent="0.25">
      <c r="B235" s="1"/>
      <c r="C235" s="1"/>
      <c r="D235" s="1"/>
      <c r="E235" s="1"/>
      <c r="F235" s="1"/>
      <c r="G235" s="1"/>
      <c r="H235" s="1"/>
      <c r="I235" s="1"/>
      <c r="J235" s="1"/>
      <c r="K235" s="1"/>
      <c r="L235" s="1"/>
    </row>
    <row r="236" spans="2:12" x14ac:dyDescent="0.25">
      <c r="B236" s="1"/>
      <c r="C236" s="1"/>
      <c r="D236" s="1"/>
      <c r="E236" s="1"/>
      <c r="F236" s="1"/>
      <c r="G236" s="1"/>
      <c r="H236" s="1"/>
      <c r="I236" s="1"/>
      <c r="J236" s="1"/>
      <c r="K236" s="1"/>
      <c r="L236" s="1"/>
    </row>
    <row r="237" spans="2:12" x14ac:dyDescent="0.25">
      <c r="B237" s="1"/>
      <c r="C237" s="1"/>
      <c r="D237" s="1"/>
      <c r="E237" s="1"/>
      <c r="F237" s="1"/>
      <c r="G237" s="1"/>
      <c r="H237" s="1"/>
      <c r="I237" s="1"/>
      <c r="J237" s="1"/>
      <c r="K237" s="1"/>
      <c r="L237" s="1"/>
    </row>
    <row r="238" spans="2:12" x14ac:dyDescent="0.25">
      <c r="B238" s="1"/>
      <c r="C238" s="1"/>
      <c r="D238" s="1"/>
      <c r="E238" s="1"/>
      <c r="F238" s="1"/>
      <c r="G238" s="1"/>
      <c r="H238" s="1"/>
      <c r="I238" s="1"/>
      <c r="J238" s="1"/>
      <c r="K238" s="1"/>
      <c r="L238" s="1"/>
    </row>
    <row r="239" spans="2:12" x14ac:dyDescent="0.25">
      <c r="B239" s="1"/>
      <c r="C239" s="1"/>
      <c r="D239" s="1"/>
      <c r="E239" s="1"/>
      <c r="F239" s="1"/>
      <c r="G239" s="1"/>
      <c r="H239" s="1"/>
      <c r="I239" s="1"/>
      <c r="J239" s="1"/>
      <c r="K239" s="1"/>
      <c r="L239" s="1"/>
    </row>
    <row r="240" spans="2:12" x14ac:dyDescent="0.25">
      <c r="B240" s="1"/>
      <c r="C240" s="1"/>
      <c r="D240" s="1"/>
      <c r="E240" s="1"/>
      <c r="F240" s="1"/>
      <c r="G240" s="1"/>
      <c r="H240" s="1"/>
      <c r="I240" s="1"/>
      <c r="J240" s="1"/>
      <c r="K240" s="1"/>
      <c r="L240" s="1"/>
    </row>
    <row r="241" spans="2:12" x14ac:dyDescent="0.25">
      <c r="B241" s="1"/>
      <c r="C241" s="1"/>
      <c r="D241" s="1"/>
      <c r="E241" s="1"/>
      <c r="F241" s="1"/>
      <c r="G241" s="1"/>
      <c r="H241" s="1"/>
      <c r="I241" s="1"/>
      <c r="J241" s="1"/>
      <c r="K241" s="1"/>
      <c r="L241" s="1"/>
    </row>
    <row r="242" spans="2:12" x14ac:dyDescent="0.25">
      <c r="B242" s="1"/>
      <c r="C242" s="1"/>
      <c r="D242" s="1"/>
      <c r="E242" s="1"/>
      <c r="F242" s="1"/>
      <c r="G242" s="1"/>
      <c r="H242" s="1"/>
      <c r="I242" s="1"/>
      <c r="J242" s="1"/>
      <c r="K242" s="1"/>
      <c r="L242" s="1"/>
    </row>
    <row r="243" spans="2:12" x14ac:dyDescent="0.25">
      <c r="B243" s="1"/>
      <c r="C243" s="1"/>
      <c r="D243" s="1"/>
      <c r="E243" s="1"/>
      <c r="F243" s="1"/>
      <c r="G243" s="1"/>
      <c r="H243" s="1"/>
      <c r="I243" s="1"/>
      <c r="J243" s="1"/>
      <c r="K243" s="1"/>
      <c r="L243" s="1"/>
    </row>
    <row r="244" spans="2:12" x14ac:dyDescent="0.25">
      <c r="B244" s="1"/>
      <c r="C244" s="1"/>
      <c r="D244" s="1"/>
      <c r="E244" s="1"/>
      <c r="F244" s="1"/>
      <c r="G244" s="1"/>
      <c r="H244" s="1"/>
      <c r="I244" s="1"/>
      <c r="J244" s="1"/>
      <c r="K244" s="1"/>
      <c r="L244" s="1"/>
    </row>
    <row r="245" spans="2:12" x14ac:dyDescent="0.25">
      <c r="B245" s="1"/>
      <c r="C245" s="1"/>
      <c r="D245" s="1"/>
      <c r="E245" s="1"/>
      <c r="F245" s="1"/>
      <c r="G245" s="1"/>
      <c r="H245" s="1"/>
      <c r="I245" s="1"/>
      <c r="J245" s="1"/>
      <c r="K245" s="1"/>
      <c r="L245" s="1"/>
    </row>
    <row r="246" spans="2:12" x14ac:dyDescent="0.25">
      <c r="B246" s="1"/>
      <c r="C246" s="1"/>
      <c r="D246" s="1"/>
      <c r="E246" s="1"/>
      <c r="F246" s="1"/>
      <c r="G246" s="1"/>
      <c r="H246" s="1"/>
      <c r="I246" s="1"/>
      <c r="J246" s="1"/>
      <c r="K246" s="1"/>
      <c r="L246" s="1"/>
    </row>
    <row r="247" spans="2:12" x14ac:dyDescent="0.25">
      <c r="B247" s="1"/>
      <c r="C247" s="1"/>
      <c r="D247" s="1"/>
      <c r="E247" s="1"/>
      <c r="F247" s="1"/>
      <c r="G247" s="1"/>
      <c r="H247" s="1"/>
      <c r="I247" s="1"/>
      <c r="J247" s="1"/>
      <c r="K247" s="1"/>
      <c r="L247" s="1"/>
    </row>
    <row r="248" spans="2:12" x14ac:dyDescent="0.25">
      <c r="B248" s="1"/>
      <c r="C248" s="1"/>
      <c r="D248" s="1"/>
      <c r="E248" s="1"/>
      <c r="F248" s="1"/>
      <c r="G248" s="1"/>
      <c r="H248" s="1"/>
      <c r="I248" s="1"/>
      <c r="J248" s="1"/>
      <c r="K248" s="1"/>
      <c r="L248" s="1"/>
    </row>
    <row r="249" spans="2:12" x14ac:dyDescent="0.25">
      <c r="B249" s="1"/>
      <c r="C249" s="1"/>
      <c r="D249" s="1"/>
      <c r="E249" s="1"/>
      <c r="F249" s="1"/>
      <c r="G249" s="1"/>
      <c r="H249" s="1"/>
      <c r="I249" s="1"/>
      <c r="J249" s="1"/>
      <c r="K249" s="1"/>
      <c r="L249" s="1"/>
    </row>
    <row r="250" spans="2:12" x14ac:dyDescent="0.25">
      <c r="B250" s="1"/>
      <c r="C250" s="1"/>
      <c r="D250" s="1"/>
      <c r="E250" s="1"/>
      <c r="F250" s="1"/>
      <c r="G250" s="1"/>
      <c r="H250" s="1"/>
      <c r="I250" s="1"/>
      <c r="J250" s="1"/>
      <c r="K250" s="1"/>
      <c r="L250" s="1"/>
    </row>
    <row r="251" spans="2:12" x14ac:dyDescent="0.25">
      <c r="B251" s="1"/>
      <c r="C251" s="1"/>
      <c r="D251" s="1"/>
      <c r="E251" s="1"/>
      <c r="F251" s="1"/>
      <c r="G251" s="1"/>
      <c r="H251" s="1"/>
      <c r="I251" s="1"/>
      <c r="J251" s="1"/>
      <c r="K251" s="1"/>
      <c r="L251" s="1"/>
    </row>
    <row r="252" spans="2:12" x14ac:dyDescent="0.25">
      <c r="B252" s="1"/>
      <c r="C252" s="1"/>
      <c r="D252" s="1"/>
      <c r="E252" s="1"/>
      <c r="F252" s="1"/>
      <c r="G252" s="1"/>
      <c r="H252" s="1"/>
      <c r="I252" s="1"/>
      <c r="J252" s="1"/>
      <c r="K252" s="1"/>
      <c r="L252" s="1"/>
    </row>
    <row r="253" spans="2:12" x14ac:dyDescent="0.25">
      <c r="B253" s="1"/>
      <c r="C253" s="1"/>
      <c r="D253" s="1"/>
      <c r="E253" s="1"/>
      <c r="F253" s="1"/>
      <c r="G253" s="1"/>
      <c r="H253" s="1"/>
      <c r="I253" s="1"/>
      <c r="J253" s="1"/>
      <c r="K253" s="1"/>
      <c r="L253" s="1"/>
    </row>
    <row r="254" spans="2:12" x14ac:dyDescent="0.25">
      <c r="B254" s="1"/>
      <c r="C254" s="1"/>
      <c r="D254" s="1"/>
      <c r="E254" s="1"/>
      <c r="F254" s="1"/>
      <c r="G254" s="1"/>
      <c r="H254" s="1"/>
      <c r="I254" s="1"/>
      <c r="J254" s="1"/>
      <c r="K254" s="1"/>
      <c r="L254" s="1"/>
    </row>
    <row r="255" spans="2:12" x14ac:dyDescent="0.25">
      <c r="B255" s="1"/>
      <c r="C255" s="1"/>
      <c r="D255" s="1"/>
      <c r="E255" s="1"/>
      <c r="F255" s="1"/>
      <c r="G255" s="1"/>
      <c r="H255" s="1"/>
      <c r="I255" s="1"/>
      <c r="J255" s="1"/>
      <c r="K255" s="1"/>
      <c r="L255" s="1"/>
    </row>
    <row r="256" spans="2:12" x14ac:dyDescent="0.25">
      <c r="B256" s="1"/>
      <c r="C256" s="1"/>
      <c r="D256" s="1"/>
      <c r="E256" s="1"/>
      <c r="F256" s="1"/>
      <c r="G256" s="1"/>
      <c r="H256" s="1"/>
      <c r="I256" s="1"/>
      <c r="J256" s="1"/>
      <c r="K256" s="1"/>
      <c r="L256" s="1"/>
    </row>
    <row r="257" spans="2:12" x14ac:dyDescent="0.25">
      <c r="B257" s="1"/>
      <c r="C257" s="1"/>
      <c r="D257" s="1"/>
      <c r="E257" s="1"/>
      <c r="F257" s="1"/>
      <c r="G257" s="1"/>
      <c r="H257" s="1"/>
      <c r="I257" s="1"/>
      <c r="J257" s="1"/>
      <c r="K257" s="1"/>
      <c r="L257" s="1"/>
    </row>
    <row r="258" spans="2:12" x14ac:dyDescent="0.25">
      <c r="B258" s="1"/>
      <c r="C258" s="1"/>
      <c r="D258" s="1"/>
      <c r="E258" s="1"/>
      <c r="F258" s="1"/>
      <c r="G258" s="1"/>
      <c r="H258" s="1"/>
      <c r="I258" s="1"/>
      <c r="J258" s="1"/>
      <c r="K258" s="1"/>
      <c r="L258" s="1"/>
    </row>
    <row r="259" spans="2:12" x14ac:dyDescent="0.25">
      <c r="B259" s="1"/>
      <c r="C259" s="1"/>
      <c r="D259" s="1"/>
      <c r="E259" s="1"/>
      <c r="F259" s="1"/>
      <c r="G259" s="1"/>
      <c r="H259" s="1"/>
      <c r="I259" s="1"/>
      <c r="J259" s="1"/>
      <c r="K259" s="1"/>
      <c r="L259" s="1"/>
    </row>
    <row r="260" spans="2:12" x14ac:dyDescent="0.25">
      <c r="B260" s="1"/>
      <c r="C260" s="1"/>
      <c r="D260" s="1"/>
      <c r="E260" s="1"/>
      <c r="F260" s="1"/>
      <c r="G260" s="1"/>
      <c r="H260" s="1"/>
      <c r="I260" s="1"/>
      <c r="J260" s="1"/>
      <c r="K260" s="1"/>
      <c r="L260" s="1"/>
    </row>
    <row r="261" spans="2:12" x14ac:dyDescent="0.25">
      <c r="B261" s="1"/>
      <c r="C261" s="1"/>
      <c r="D261" s="1"/>
      <c r="E261" s="1"/>
      <c r="F261" s="1"/>
      <c r="G261" s="1"/>
      <c r="H261" s="1"/>
      <c r="I261" s="1"/>
      <c r="J261" s="1"/>
      <c r="K261" s="1"/>
      <c r="L261" s="1"/>
    </row>
    <row r="262" spans="2:12" x14ac:dyDescent="0.25">
      <c r="B262" s="1"/>
      <c r="C262" s="1"/>
      <c r="D262" s="1"/>
      <c r="E262" s="1"/>
      <c r="F262" s="1"/>
      <c r="G262" s="1"/>
      <c r="H262" s="1"/>
      <c r="I262" s="1"/>
      <c r="J262" s="1"/>
      <c r="K262" s="1"/>
      <c r="L262" s="1"/>
    </row>
    <row r="263" spans="2:12" x14ac:dyDescent="0.25">
      <c r="B263" s="1"/>
      <c r="C263" s="1"/>
      <c r="D263" s="1"/>
      <c r="E263" s="1"/>
      <c r="F263" s="1"/>
      <c r="G263" s="1"/>
      <c r="H263" s="1"/>
      <c r="I263" s="1"/>
      <c r="J263" s="1"/>
      <c r="K263" s="1"/>
      <c r="L263" s="1"/>
    </row>
    <row r="264" spans="2:12" x14ac:dyDescent="0.25">
      <c r="B264" s="1"/>
      <c r="C264" s="1"/>
      <c r="D264" s="1"/>
      <c r="E264" s="1"/>
      <c r="F264" s="1"/>
      <c r="G264" s="1"/>
      <c r="H264" s="1"/>
      <c r="I264" s="1"/>
      <c r="J264" s="1"/>
      <c r="K264" s="1"/>
      <c r="L264" s="1"/>
    </row>
    <row r="265" spans="2:12" x14ac:dyDescent="0.25">
      <c r="B265" s="1"/>
      <c r="C265" s="1"/>
      <c r="D265" s="1"/>
      <c r="E265" s="1"/>
      <c r="F265" s="1"/>
      <c r="G265" s="1"/>
      <c r="H265" s="1"/>
      <c r="I265" s="1"/>
      <c r="J265" s="1"/>
      <c r="K265" s="1"/>
      <c r="L265" s="1"/>
    </row>
    <row r="266" spans="2:12" x14ac:dyDescent="0.25">
      <c r="B266" s="1"/>
      <c r="C266" s="1"/>
      <c r="D266" s="1"/>
      <c r="E266" s="1"/>
      <c r="F266" s="1"/>
      <c r="G266" s="1"/>
      <c r="H266" s="1"/>
      <c r="I266" s="1"/>
      <c r="J266" s="1"/>
      <c r="K266" s="1"/>
      <c r="L266" s="1"/>
    </row>
    <row r="267" spans="2:12" x14ac:dyDescent="0.25">
      <c r="B267" s="1"/>
      <c r="C267" s="1"/>
      <c r="D267" s="1"/>
      <c r="E267" s="1"/>
      <c r="F267" s="1"/>
      <c r="G267" s="1"/>
      <c r="H267" s="1"/>
      <c r="I267" s="1"/>
      <c r="J267" s="1"/>
      <c r="K267" s="1"/>
      <c r="L267" s="1"/>
    </row>
    <row r="268" spans="2:12" x14ac:dyDescent="0.25">
      <c r="B268" s="1"/>
      <c r="C268" s="1"/>
      <c r="D268" s="1"/>
      <c r="E268" s="1"/>
      <c r="F268" s="1"/>
      <c r="G268" s="1"/>
      <c r="H268" s="1"/>
      <c r="I268" s="1"/>
      <c r="J268" s="1"/>
      <c r="K268" s="1"/>
      <c r="L268" s="1"/>
    </row>
    <row r="269" spans="2:12" x14ac:dyDescent="0.25">
      <c r="B269" s="1"/>
      <c r="C269" s="1"/>
      <c r="D269" s="1"/>
      <c r="E269" s="1"/>
      <c r="F269" s="1"/>
      <c r="G269" s="1"/>
      <c r="H269" s="1"/>
      <c r="I269" s="1"/>
      <c r="J269" s="1"/>
      <c r="K269" s="1"/>
      <c r="L269" s="1"/>
    </row>
    <row r="270" spans="2:12" x14ac:dyDescent="0.25">
      <c r="B270" s="1"/>
      <c r="C270" s="1"/>
      <c r="D270" s="1"/>
      <c r="E270" s="1"/>
      <c r="F270" s="1"/>
      <c r="G270" s="1"/>
      <c r="H270" s="1"/>
      <c r="I270" s="1"/>
      <c r="J270" s="1"/>
      <c r="K270" s="1"/>
      <c r="L270" s="1"/>
    </row>
    <row r="271" spans="2:12" x14ac:dyDescent="0.25">
      <c r="B271" s="1"/>
      <c r="C271" s="1"/>
      <c r="D271" s="1"/>
      <c r="E271" s="1"/>
      <c r="F271" s="1"/>
      <c r="G271" s="1"/>
      <c r="H271" s="1"/>
      <c r="I271" s="1"/>
      <c r="J271" s="1"/>
      <c r="K271" s="1"/>
      <c r="L271" s="1"/>
    </row>
    <row r="272" spans="2:12" x14ac:dyDescent="0.25">
      <c r="B272" s="1"/>
      <c r="C272" s="1"/>
      <c r="D272" s="1"/>
      <c r="E272" s="1"/>
      <c r="F272" s="1"/>
      <c r="G272" s="1"/>
      <c r="H272" s="1"/>
      <c r="I272" s="1"/>
      <c r="J272" s="1"/>
      <c r="K272" s="1"/>
      <c r="L272" s="1"/>
    </row>
    <row r="273" spans="2:12" x14ac:dyDescent="0.25">
      <c r="B273" s="1"/>
      <c r="C273" s="1"/>
      <c r="D273" s="1"/>
      <c r="E273" s="1"/>
      <c r="F273" s="1"/>
      <c r="G273" s="1"/>
      <c r="H273" s="1"/>
      <c r="I273" s="1"/>
      <c r="J273" s="1"/>
      <c r="K273" s="1"/>
      <c r="L273" s="1"/>
    </row>
    <row r="274" spans="2:12" x14ac:dyDescent="0.25">
      <c r="B274" s="1"/>
      <c r="C274" s="1"/>
      <c r="D274" s="1"/>
      <c r="E274" s="1"/>
      <c r="F274" s="1"/>
      <c r="G274" s="1"/>
      <c r="H274" s="1"/>
      <c r="I274" s="1"/>
      <c r="J274" s="1"/>
      <c r="K274" s="1"/>
      <c r="L274" s="1"/>
    </row>
    <row r="275" spans="2:12" x14ac:dyDescent="0.25">
      <c r="B275" s="1"/>
      <c r="C275" s="1"/>
      <c r="D275" s="1"/>
      <c r="E275" s="1"/>
      <c r="F275" s="1"/>
      <c r="G275" s="1"/>
      <c r="H275" s="1"/>
      <c r="I275" s="1"/>
      <c r="J275" s="1"/>
      <c r="K275" s="1"/>
      <c r="L275" s="1"/>
    </row>
    <row r="276" spans="2:12" x14ac:dyDescent="0.25">
      <c r="B276" s="1"/>
      <c r="C276" s="1"/>
      <c r="D276" s="1"/>
      <c r="E276" s="1"/>
      <c r="F276" s="1"/>
      <c r="G276" s="1"/>
      <c r="H276" s="1"/>
      <c r="I276" s="1"/>
      <c r="J276" s="1"/>
      <c r="K276" s="1"/>
      <c r="L276" s="1"/>
    </row>
    <row r="277" spans="2:12" x14ac:dyDescent="0.25">
      <c r="B277" s="1"/>
      <c r="C277" s="1"/>
      <c r="D277" s="1"/>
      <c r="E277" s="1"/>
      <c r="F277" s="1"/>
      <c r="G277" s="1"/>
      <c r="H277" s="1"/>
      <c r="I277" s="1"/>
      <c r="J277" s="1"/>
      <c r="K277" s="1"/>
      <c r="L277" s="1"/>
    </row>
    <row r="278" spans="2:12" x14ac:dyDescent="0.25">
      <c r="B278" s="1"/>
      <c r="C278" s="1"/>
      <c r="D278" s="1"/>
      <c r="E278" s="1"/>
      <c r="F278" s="1"/>
      <c r="G278" s="1"/>
      <c r="H278" s="1"/>
      <c r="I278" s="1"/>
      <c r="J278" s="1"/>
      <c r="K278" s="1"/>
      <c r="L278" s="1"/>
    </row>
    <row r="279" spans="2:12" x14ac:dyDescent="0.25">
      <c r="B279" s="1"/>
      <c r="C279" s="1"/>
      <c r="D279" s="1"/>
      <c r="E279" s="1"/>
      <c r="F279" s="1"/>
      <c r="G279" s="1"/>
      <c r="H279" s="1"/>
      <c r="I279" s="1"/>
      <c r="J279" s="1"/>
      <c r="K279" s="1"/>
      <c r="L279" s="1"/>
    </row>
    <row r="280" spans="2:12" x14ac:dyDescent="0.25">
      <c r="B280" s="1"/>
      <c r="C280" s="1"/>
      <c r="D280" s="1"/>
      <c r="E280" s="1"/>
      <c r="F280" s="1"/>
      <c r="G280" s="1"/>
      <c r="H280" s="1"/>
      <c r="I280" s="1"/>
      <c r="J280" s="1"/>
      <c r="K280" s="1"/>
      <c r="L280" s="1"/>
    </row>
    <row r="281" spans="2:12" x14ac:dyDescent="0.25">
      <c r="B281" s="1"/>
      <c r="C281" s="1"/>
      <c r="D281" s="1"/>
      <c r="E281" s="1"/>
      <c r="F281" s="1"/>
      <c r="G281" s="1"/>
      <c r="H281" s="1"/>
      <c r="I281" s="1"/>
      <c r="J281" s="1"/>
      <c r="K281" s="1"/>
      <c r="L281" s="1"/>
    </row>
    <row r="282" spans="2:12" x14ac:dyDescent="0.25">
      <c r="B282" s="1"/>
      <c r="C282" s="1"/>
      <c r="D282" s="1"/>
      <c r="E282" s="1"/>
      <c r="F282" s="1"/>
      <c r="G282" s="1"/>
      <c r="H282" s="1"/>
      <c r="I282" s="1"/>
      <c r="J282" s="1"/>
      <c r="K282" s="1"/>
      <c r="L282" s="1"/>
    </row>
    <row r="283" spans="2:12" x14ac:dyDescent="0.25">
      <c r="B283" s="1"/>
      <c r="C283" s="1"/>
      <c r="D283" s="1"/>
      <c r="E283" s="1"/>
      <c r="F283" s="1"/>
      <c r="G283" s="1"/>
      <c r="H283" s="1"/>
      <c r="I283" s="1"/>
      <c r="J283" s="1"/>
      <c r="K283" s="1"/>
      <c r="L283" s="1"/>
    </row>
    <row r="284" spans="2:12" x14ac:dyDescent="0.25">
      <c r="B284" s="1"/>
      <c r="C284" s="1"/>
      <c r="D284" s="1"/>
      <c r="E284" s="1"/>
      <c r="F284" s="1"/>
      <c r="G284" s="1"/>
      <c r="H284" s="1"/>
      <c r="I284" s="1"/>
      <c r="J284" s="1"/>
      <c r="K284" s="1"/>
      <c r="L284" s="1"/>
    </row>
    <row r="285" spans="2:12" x14ac:dyDescent="0.25">
      <c r="B285" s="1"/>
      <c r="C285" s="1"/>
      <c r="D285" s="1"/>
      <c r="E285" s="1"/>
      <c r="F285" s="1"/>
      <c r="G285" s="1"/>
      <c r="H285" s="1"/>
      <c r="I285" s="1"/>
      <c r="J285" s="1"/>
      <c r="K285" s="1"/>
      <c r="L285" s="1"/>
    </row>
    <row r="286" spans="2:12" x14ac:dyDescent="0.25">
      <c r="B286" s="1"/>
      <c r="C286" s="1"/>
      <c r="D286" s="1"/>
      <c r="E286" s="1"/>
      <c r="F286" s="1"/>
      <c r="G286" s="1"/>
      <c r="H286" s="1"/>
      <c r="I286" s="1"/>
      <c r="J286" s="1"/>
      <c r="K286" s="1"/>
      <c r="L286" s="1"/>
    </row>
    <row r="287" spans="2:12" x14ac:dyDescent="0.25">
      <c r="B287" s="1"/>
      <c r="C287" s="1"/>
      <c r="D287" s="1"/>
      <c r="E287" s="1"/>
      <c r="F287" s="1"/>
      <c r="G287" s="1"/>
      <c r="H287" s="1"/>
      <c r="I287" s="1"/>
      <c r="J287" s="1"/>
      <c r="K287" s="1"/>
      <c r="L287" s="1"/>
    </row>
    <row r="288" spans="2:12" x14ac:dyDescent="0.25">
      <c r="B288" s="1"/>
      <c r="C288" s="1"/>
      <c r="D288" s="1"/>
      <c r="E288" s="1"/>
      <c r="F288" s="1"/>
      <c r="G288" s="1"/>
      <c r="H288" s="1"/>
      <c r="I288" s="1"/>
      <c r="J288" s="1"/>
      <c r="K288" s="1"/>
      <c r="L288" s="1"/>
    </row>
    <row r="289" spans="2:12" x14ac:dyDescent="0.25">
      <c r="B289" s="1"/>
      <c r="C289" s="1"/>
      <c r="D289" s="1"/>
      <c r="E289" s="1"/>
      <c r="F289" s="1"/>
      <c r="G289" s="1"/>
      <c r="H289" s="1"/>
      <c r="I289" s="1"/>
      <c r="J289" s="1"/>
      <c r="K289" s="1"/>
      <c r="L289" s="1"/>
    </row>
    <row r="290" spans="2:12" x14ac:dyDescent="0.25">
      <c r="B290" s="1"/>
      <c r="C290" s="1"/>
      <c r="D290" s="1"/>
      <c r="E290" s="1"/>
      <c r="F290" s="1"/>
      <c r="G290" s="1"/>
      <c r="H290" s="1"/>
      <c r="I290" s="1"/>
      <c r="J290" s="1"/>
      <c r="K290" s="1"/>
      <c r="L290" s="1"/>
    </row>
    <row r="291" spans="2:12" x14ac:dyDescent="0.25">
      <c r="B291" s="1"/>
      <c r="C291" s="1"/>
      <c r="D291" s="1"/>
      <c r="E291" s="1"/>
      <c r="F291" s="1"/>
      <c r="G291" s="1"/>
      <c r="H291" s="1"/>
      <c r="I291" s="1"/>
      <c r="J291" s="1"/>
      <c r="K291" s="1"/>
      <c r="L291" s="1"/>
    </row>
    <row r="292" spans="2:12" x14ac:dyDescent="0.25">
      <c r="B292" s="1"/>
      <c r="C292" s="1"/>
      <c r="D292" s="1"/>
      <c r="E292" s="1"/>
      <c r="F292" s="1"/>
      <c r="G292" s="1"/>
      <c r="H292" s="1"/>
      <c r="I292" s="1"/>
      <c r="J292" s="1"/>
      <c r="K292" s="1"/>
      <c r="L292" s="1"/>
    </row>
    <row r="293" spans="2:12" x14ac:dyDescent="0.25">
      <c r="B293" s="1"/>
      <c r="C293" s="1"/>
      <c r="D293" s="1"/>
      <c r="E293" s="1"/>
      <c r="F293" s="1"/>
      <c r="G293" s="1"/>
      <c r="H293" s="1"/>
      <c r="I293" s="1"/>
      <c r="J293" s="1"/>
      <c r="K293" s="1"/>
      <c r="L293" s="1"/>
    </row>
    <row r="294" spans="2:12" x14ac:dyDescent="0.25">
      <c r="B294" s="1"/>
      <c r="C294" s="1"/>
      <c r="D294" s="1"/>
      <c r="E294" s="1"/>
      <c r="F294" s="1"/>
      <c r="G294" s="1"/>
      <c r="H294" s="1"/>
      <c r="I294" s="1"/>
      <c r="J294" s="1"/>
      <c r="K294" s="1"/>
      <c r="L294" s="1"/>
    </row>
    <row r="295" spans="2:12" x14ac:dyDescent="0.25">
      <c r="B295" s="1"/>
      <c r="C295" s="1"/>
      <c r="D295" s="1"/>
      <c r="E295" s="1"/>
      <c r="F295" s="1"/>
      <c r="G295" s="1"/>
      <c r="H295" s="1"/>
      <c r="I295" s="1"/>
      <c r="J295" s="1"/>
      <c r="K295" s="1"/>
      <c r="L295" s="1"/>
    </row>
    <row r="296" spans="2:12" x14ac:dyDescent="0.25">
      <c r="B296" s="1"/>
      <c r="C296" s="1"/>
      <c r="D296" s="1"/>
      <c r="E296" s="1"/>
      <c r="F296" s="1"/>
      <c r="G296" s="1"/>
      <c r="H296" s="1"/>
      <c r="I296" s="1"/>
      <c r="J296" s="1"/>
      <c r="K296" s="1"/>
      <c r="L296" s="1"/>
    </row>
    <row r="297" spans="2:12" x14ac:dyDescent="0.25">
      <c r="B297" s="1"/>
      <c r="C297" s="1"/>
      <c r="D297" s="1"/>
      <c r="E297" s="1"/>
      <c r="F297" s="1"/>
      <c r="G297" s="1"/>
      <c r="H297" s="1"/>
      <c r="I297" s="1"/>
      <c r="J297" s="1"/>
      <c r="K297" s="1"/>
      <c r="L297" s="1"/>
    </row>
    <row r="298" spans="2:12" x14ac:dyDescent="0.25">
      <c r="B298" s="1"/>
      <c r="C298" s="1"/>
      <c r="D298" s="1"/>
      <c r="E298" s="1"/>
      <c r="F298" s="1"/>
      <c r="G298" s="1"/>
      <c r="H298" s="1"/>
      <c r="I298" s="1"/>
      <c r="J298" s="1"/>
      <c r="K298" s="1"/>
      <c r="L298" s="1"/>
    </row>
    <row r="299" spans="2:12" x14ac:dyDescent="0.25">
      <c r="B299" s="1"/>
      <c r="C299" s="1"/>
      <c r="D299" s="1"/>
      <c r="E299" s="1"/>
      <c r="F299" s="1"/>
      <c r="G299" s="1"/>
      <c r="H299" s="1"/>
      <c r="I299" s="1"/>
      <c r="J299" s="1"/>
      <c r="K299" s="1"/>
      <c r="L299" s="1"/>
    </row>
    <row r="300" spans="2:12" x14ac:dyDescent="0.25">
      <c r="B300" s="1"/>
      <c r="C300" s="1"/>
      <c r="D300" s="1"/>
      <c r="E300" s="1"/>
      <c r="F300" s="1"/>
      <c r="G300" s="1"/>
      <c r="H300" s="1"/>
      <c r="I300" s="1"/>
      <c r="J300" s="1"/>
      <c r="K300" s="1"/>
      <c r="L300" s="1"/>
    </row>
    <row r="301" spans="2:12" x14ac:dyDescent="0.25">
      <c r="B301" s="1"/>
      <c r="C301" s="1"/>
      <c r="D301" s="1"/>
      <c r="E301" s="1"/>
      <c r="F301" s="1"/>
      <c r="G301" s="1"/>
      <c r="H301" s="1"/>
      <c r="I301" s="1"/>
      <c r="J301" s="1"/>
      <c r="K301" s="1"/>
      <c r="L301" s="1"/>
    </row>
    <row r="302" spans="2:12" x14ac:dyDescent="0.25">
      <c r="B302" s="1"/>
      <c r="C302" s="1"/>
      <c r="D302" s="1"/>
      <c r="E302" s="1"/>
      <c r="F302" s="1"/>
      <c r="G302" s="1"/>
      <c r="H302" s="1"/>
      <c r="I302" s="1"/>
      <c r="J302" s="1"/>
      <c r="K302" s="1"/>
      <c r="L302" s="1"/>
    </row>
    <row r="303" spans="2:12" x14ac:dyDescent="0.25">
      <c r="B303" s="1"/>
      <c r="C303" s="1"/>
      <c r="D303" s="1"/>
      <c r="E303" s="1"/>
      <c r="F303" s="1"/>
      <c r="G303" s="1"/>
      <c r="H303" s="1"/>
      <c r="I303" s="1"/>
      <c r="J303" s="1"/>
      <c r="K303" s="1"/>
      <c r="L303" s="1"/>
    </row>
    <row r="304" spans="2:12" x14ac:dyDescent="0.25">
      <c r="B304" s="1"/>
      <c r="C304" s="1"/>
      <c r="D304" s="1"/>
      <c r="E304" s="1"/>
      <c r="F304" s="1"/>
      <c r="G304" s="1"/>
      <c r="H304" s="1"/>
      <c r="I304" s="1"/>
      <c r="J304" s="1"/>
      <c r="K304" s="1"/>
      <c r="L304" s="1"/>
    </row>
    <row r="305" spans="2:12" x14ac:dyDescent="0.25">
      <c r="B305" s="1"/>
      <c r="C305" s="1"/>
      <c r="D305" s="1"/>
      <c r="E305" s="1"/>
      <c r="F305" s="1"/>
      <c r="G305" s="1"/>
      <c r="H305" s="1"/>
      <c r="I305" s="1"/>
      <c r="J305" s="1"/>
      <c r="K305" s="1"/>
      <c r="L305" s="1"/>
    </row>
    <row r="306" spans="2:12" x14ac:dyDescent="0.25">
      <c r="B306" s="1"/>
      <c r="C306" s="1"/>
      <c r="D306" s="1"/>
      <c r="E306" s="1"/>
      <c r="F306" s="1"/>
      <c r="G306" s="1"/>
      <c r="H306" s="1"/>
      <c r="I306" s="1"/>
      <c r="J306" s="1"/>
      <c r="K306" s="1"/>
      <c r="L306" s="1"/>
    </row>
    <row r="307" spans="2:12" x14ac:dyDescent="0.25">
      <c r="B307" s="1"/>
      <c r="C307" s="1"/>
      <c r="D307" s="1"/>
      <c r="E307" s="1"/>
      <c r="F307" s="1"/>
      <c r="G307" s="1"/>
      <c r="H307" s="1"/>
      <c r="I307" s="1"/>
      <c r="J307" s="1"/>
      <c r="K307" s="1"/>
      <c r="L307" s="1"/>
    </row>
    <row r="308" spans="2:12" x14ac:dyDescent="0.25">
      <c r="B308" s="1"/>
      <c r="C308" s="1"/>
      <c r="D308" s="1"/>
      <c r="E308" s="1"/>
      <c r="F308" s="1"/>
      <c r="G308" s="1"/>
      <c r="H308" s="1"/>
      <c r="I308" s="1"/>
      <c r="J308" s="1"/>
      <c r="K308" s="1"/>
      <c r="L308" s="1"/>
    </row>
    <row r="309" spans="2:12" x14ac:dyDescent="0.25">
      <c r="B309" s="1"/>
      <c r="C309" s="1"/>
      <c r="D309" s="1"/>
      <c r="E309" s="1"/>
      <c r="F309" s="1"/>
      <c r="G309" s="1"/>
      <c r="H309" s="1"/>
      <c r="I309" s="1"/>
      <c r="J309" s="1"/>
      <c r="K309" s="1"/>
      <c r="L309" s="1"/>
    </row>
    <row r="310" spans="2:12" x14ac:dyDescent="0.25">
      <c r="B310" s="1"/>
      <c r="C310" s="1"/>
      <c r="D310" s="1"/>
      <c r="E310" s="1"/>
      <c r="F310" s="1"/>
      <c r="G310" s="1"/>
      <c r="H310" s="1"/>
      <c r="I310" s="1"/>
      <c r="J310" s="1"/>
      <c r="K310" s="1"/>
      <c r="L310" s="1"/>
    </row>
    <row r="311" spans="2:12" x14ac:dyDescent="0.25">
      <c r="B311" s="1"/>
      <c r="C311" s="1"/>
      <c r="D311" s="1"/>
      <c r="E311" s="1"/>
      <c r="F311" s="1"/>
      <c r="G311" s="1"/>
      <c r="H311" s="1"/>
      <c r="I311" s="1"/>
      <c r="J311" s="1"/>
      <c r="K311" s="1"/>
      <c r="L311" s="1"/>
    </row>
    <row r="312" spans="2:12" x14ac:dyDescent="0.25">
      <c r="B312" s="1"/>
      <c r="C312" s="1"/>
      <c r="D312" s="1"/>
      <c r="E312" s="1"/>
      <c r="F312" s="1"/>
      <c r="G312" s="1"/>
      <c r="H312" s="1"/>
      <c r="I312" s="1"/>
      <c r="J312" s="1"/>
      <c r="K312" s="1"/>
      <c r="L312" s="1"/>
    </row>
    <row r="313" spans="2:12" x14ac:dyDescent="0.25">
      <c r="B313" s="1"/>
      <c r="C313" s="1"/>
      <c r="D313" s="1"/>
      <c r="E313" s="1"/>
      <c r="F313" s="1"/>
      <c r="G313" s="1"/>
      <c r="H313" s="1"/>
      <c r="I313" s="1"/>
      <c r="J313" s="1"/>
      <c r="K313" s="1"/>
      <c r="L313" s="1"/>
    </row>
    <row r="314" spans="2:12" x14ac:dyDescent="0.25">
      <c r="B314" s="1"/>
      <c r="C314" s="1"/>
      <c r="D314" s="1"/>
      <c r="E314" s="1"/>
      <c r="F314" s="1"/>
      <c r="G314" s="1"/>
      <c r="H314" s="1"/>
      <c r="I314" s="1"/>
      <c r="J314" s="1"/>
      <c r="K314" s="1"/>
      <c r="L314" s="1"/>
    </row>
    <row r="315" spans="2:12" x14ac:dyDescent="0.25">
      <c r="B315" s="1"/>
      <c r="C315" s="1"/>
      <c r="D315" s="1"/>
      <c r="E315" s="1"/>
      <c r="F315" s="1"/>
      <c r="G315" s="1"/>
      <c r="H315" s="1"/>
      <c r="I315" s="1"/>
      <c r="J315" s="1"/>
      <c r="K315" s="1"/>
      <c r="L315" s="1"/>
    </row>
    <row r="316" spans="2:12" x14ac:dyDescent="0.25">
      <c r="B316" s="1"/>
      <c r="C316" s="1"/>
      <c r="D316" s="1"/>
      <c r="E316" s="1"/>
      <c r="F316" s="1"/>
      <c r="G316" s="1"/>
      <c r="H316" s="1"/>
      <c r="I316" s="1"/>
      <c r="J316" s="1"/>
      <c r="K316" s="1"/>
      <c r="L316" s="1"/>
    </row>
    <row r="317" spans="2:12" x14ac:dyDescent="0.25">
      <c r="B317" s="1"/>
      <c r="C317" s="1"/>
      <c r="D317" s="1"/>
      <c r="E317" s="1"/>
      <c r="F317" s="1"/>
      <c r="G317" s="1"/>
      <c r="H317" s="1"/>
      <c r="I317" s="1"/>
      <c r="J317" s="1"/>
      <c r="K317" s="1"/>
      <c r="L317" s="1"/>
    </row>
    <row r="318" spans="2:12" x14ac:dyDescent="0.25">
      <c r="B318" s="1"/>
      <c r="C318" s="1"/>
      <c r="D318" s="1"/>
      <c r="E318" s="1"/>
      <c r="F318" s="1"/>
      <c r="G318" s="1"/>
      <c r="H318" s="1"/>
      <c r="I318" s="1"/>
      <c r="J318" s="1"/>
      <c r="K318" s="1"/>
      <c r="L318" s="1"/>
    </row>
    <row r="319" spans="2:12" x14ac:dyDescent="0.25">
      <c r="B319" s="1"/>
      <c r="C319" s="1"/>
      <c r="D319" s="1"/>
      <c r="E319" s="1"/>
      <c r="F319" s="1"/>
      <c r="G319" s="1"/>
      <c r="H319" s="1"/>
      <c r="I319" s="1"/>
      <c r="J319" s="1"/>
      <c r="K319" s="1"/>
      <c r="L319" s="1"/>
    </row>
    <row r="320" spans="2:12" x14ac:dyDescent="0.25">
      <c r="B320" s="1"/>
      <c r="C320" s="1"/>
      <c r="D320" s="1"/>
      <c r="E320" s="1"/>
      <c r="F320" s="1"/>
      <c r="G320" s="1"/>
      <c r="H320" s="1"/>
      <c r="I320" s="1"/>
      <c r="J320" s="1"/>
      <c r="K320" s="1"/>
      <c r="L320" s="1"/>
    </row>
    <row r="321" spans="2:12" x14ac:dyDescent="0.25">
      <c r="B321" s="1"/>
      <c r="C321" s="1"/>
      <c r="D321" s="1"/>
      <c r="E321" s="1"/>
      <c r="F321" s="1"/>
      <c r="G321" s="1"/>
      <c r="H321" s="1"/>
      <c r="I321" s="1"/>
      <c r="J321" s="1"/>
      <c r="K321" s="1"/>
      <c r="L321" s="1"/>
    </row>
    <row r="322" spans="2:12" x14ac:dyDescent="0.25">
      <c r="B322" s="1"/>
      <c r="C322" s="1"/>
      <c r="D322" s="1"/>
      <c r="E322" s="1"/>
      <c r="F322" s="1"/>
      <c r="G322" s="1"/>
      <c r="H322" s="1"/>
      <c r="I322" s="1"/>
      <c r="J322" s="1"/>
      <c r="K322" s="1"/>
      <c r="L322" s="1"/>
    </row>
    <row r="323" spans="2:12" x14ac:dyDescent="0.25">
      <c r="B323" s="1"/>
      <c r="C323" s="1"/>
      <c r="D323" s="1"/>
      <c r="E323" s="1"/>
      <c r="F323" s="1"/>
      <c r="G323" s="1"/>
      <c r="H323" s="1"/>
      <c r="I323" s="1"/>
      <c r="J323" s="1"/>
      <c r="K323" s="1"/>
      <c r="L323" s="1"/>
    </row>
    <row r="324" spans="2:12" x14ac:dyDescent="0.25">
      <c r="B324" s="1"/>
      <c r="C324" s="1"/>
      <c r="D324" s="1"/>
      <c r="E324" s="1"/>
      <c r="F324" s="1"/>
      <c r="G324" s="1"/>
      <c r="H324" s="1"/>
      <c r="I324" s="1"/>
      <c r="J324" s="1"/>
      <c r="K324" s="1"/>
      <c r="L324" s="1"/>
    </row>
    <row r="325" spans="2:12" x14ac:dyDescent="0.25">
      <c r="B325" s="1"/>
      <c r="C325" s="1"/>
      <c r="D325" s="1"/>
      <c r="E325" s="1"/>
      <c r="F325" s="1"/>
      <c r="G325" s="1"/>
      <c r="H325" s="1"/>
      <c r="I325" s="1"/>
      <c r="J325" s="1"/>
      <c r="K325" s="1"/>
      <c r="L325" s="1"/>
    </row>
    <row r="326" spans="2:12" x14ac:dyDescent="0.25">
      <c r="B326" s="1"/>
      <c r="C326" s="1"/>
      <c r="D326" s="1"/>
      <c r="E326" s="1"/>
      <c r="F326" s="1"/>
      <c r="G326" s="1"/>
      <c r="H326" s="1"/>
      <c r="I326" s="1"/>
      <c r="J326" s="1"/>
      <c r="K326" s="1"/>
      <c r="L326" s="1"/>
    </row>
    <row r="327" spans="2:12" x14ac:dyDescent="0.25">
      <c r="B327" s="1"/>
      <c r="C327" s="1"/>
      <c r="D327" s="1"/>
      <c r="E327" s="1"/>
      <c r="F327" s="1"/>
      <c r="G327" s="1"/>
      <c r="H327" s="1"/>
      <c r="I327" s="1"/>
      <c r="J327" s="1"/>
      <c r="K327" s="1"/>
      <c r="L327" s="1"/>
    </row>
    <row r="328" spans="2:12" x14ac:dyDescent="0.25">
      <c r="B328" s="1"/>
      <c r="C328" s="1"/>
      <c r="D328" s="1"/>
      <c r="E328" s="1"/>
      <c r="F328" s="1"/>
      <c r="G328" s="1"/>
      <c r="H328" s="1"/>
      <c r="I328" s="1"/>
      <c r="J328" s="1"/>
      <c r="K328" s="1"/>
      <c r="L328" s="1"/>
    </row>
    <row r="329" spans="2:12" x14ac:dyDescent="0.25">
      <c r="B329" s="1"/>
      <c r="C329" s="1"/>
      <c r="D329" s="1"/>
      <c r="E329" s="1"/>
      <c r="F329" s="1"/>
      <c r="G329" s="1"/>
      <c r="H329" s="1"/>
      <c r="I329" s="1"/>
      <c r="J329" s="1"/>
      <c r="K329" s="1"/>
      <c r="L329" s="1"/>
    </row>
    <row r="330" spans="2:12" x14ac:dyDescent="0.25">
      <c r="B330" s="1"/>
      <c r="C330" s="1"/>
      <c r="D330" s="1"/>
      <c r="E330" s="1"/>
      <c r="F330" s="1"/>
      <c r="G330" s="1"/>
      <c r="H330" s="1"/>
      <c r="I330" s="1"/>
      <c r="J330" s="1"/>
      <c r="K330" s="1"/>
      <c r="L330" s="1"/>
    </row>
    <row r="331" spans="2:12" x14ac:dyDescent="0.25">
      <c r="B331" s="1"/>
      <c r="C331" s="1"/>
      <c r="D331" s="1"/>
      <c r="E331" s="1"/>
      <c r="F331" s="1"/>
      <c r="G331" s="1"/>
      <c r="H331" s="1"/>
      <c r="I331" s="1"/>
      <c r="J331" s="1"/>
      <c r="K331" s="1"/>
      <c r="L331" s="1"/>
    </row>
    <row r="332" spans="2:12" x14ac:dyDescent="0.25">
      <c r="B332" s="1"/>
      <c r="C332" s="1"/>
      <c r="D332" s="1"/>
      <c r="E332" s="1"/>
      <c r="F332" s="1"/>
      <c r="G332" s="1"/>
      <c r="H332" s="1"/>
      <c r="I332" s="1"/>
      <c r="J332" s="1"/>
      <c r="K332" s="1"/>
      <c r="L332" s="1"/>
    </row>
    <row r="333" spans="2:12" x14ac:dyDescent="0.25">
      <c r="B333" s="1"/>
      <c r="C333" s="1"/>
      <c r="D333" s="1"/>
      <c r="E333" s="1"/>
      <c r="F333" s="1"/>
      <c r="G333" s="1"/>
      <c r="H333" s="1"/>
      <c r="I333" s="1"/>
      <c r="J333" s="1"/>
      <c r="K333" s="1"/>
      <c r="L333" s="1"/>
    </row>
    <row r="334" spans="2:12" x14ac:dyDescent="0.25">
      <c r="B334" s="1"/>
      <c r="C334" s="1"/>
      <c r="D334" s="1"/>
      <c r="E334" s="1"/>
      <c r="F334" s="1"/>
      <c r="G334" s="1"/>
      <c r="H334" s="1"/>
      <c r="I334" s="1"/>
      <c r="J334" s="1"/>
      <c r="K334" s="1"/>
      <c r="L334" s="1"/>
    </row>
    <row r="335" spans="2:12" x14ac:dyDescent="0.25">
      <c r="B335" s="1"/>
      <c r="C335" s="1"/>
      <c r="D335" s="1"/>
      <c r="E335" s="1"/>
      <c r="F335" s="1"/>
      <c r="G335" s="1"/>
      <c r="H335" s="1"/>
      <c r="I335" s="1"/>
      <c r="J335" s="1"/>
      <c r="K335" s="1"/>
      <c r="L335" s="1"/>
    </row>
    <row r="336" spans="2:12" x14ac:dyDescent="0.25">
      <c r="B336" s="1"/>
      <c r="C336" s="1"/>
      <c r="D336" s="1"/>
      <c r="E336" s="1"/>
      <c r="F336" s="1"/>
      <c r="G336" s="1"/>
      <c r="H336" s="1"/>
      <c r="I336" s="1"/>
      <c r="J336" s="1"/>
      <c r="K336" s="1"/>
      <c r="L336" s="1"/>
    </row>
    <row r="337" spans="2:12" x14ac:dyDescent="0.25">
      <c r="B337" s="1"/>
      <c r="C337" s="1"/>
      <c r="D337" s="1"/>
      <c r="E337" s="1"/>
      <c r="F337" s="1"/>
      <c r="G337" s="1"/>
      <c r="H337" s="1"/>
      <c r="I337" s="1"/>
      <c r="J337" s="1"/>
      <c r="K337" s="1"/>
      <c r="L337" s="1"/>
    </row>
    <row r="338" spans="2:12" x14ac:dyDescent="0.25">
      <c r="B338" s="1"/>
      <c r="C338" s="1"/>
      <c r="D338" s="1"/>
      <c r="E338" s="1"/>
      <c r="F338" s="1"/>
      <c r="G338" s="1"/>
      <c r="H338" s="1"/>
      <c r="I338" s="1"/>
      <c r="J338" s="1"/>
      <c r="K338" s="1"/>
      <c r="L338" s="1"/>
    </row>
    <row r="339" spans="2:12" x14ac:dyDescent="0.25">
      <c r="B339" s="1"/>
      <c r="C339" s="1"/>
      <c r="D339" s="1"/>
      <c r="E339" s="1"/>
      <c r="F339" s="1"/>
      <c r="G339" s="1"/>
      <c r="H339" s="1"/>
      <c r="I339" s="1"/>
      <c r="J339" s="1"/>
      <c r="K339" s="1"/>
      <c r="L339" s="1"/>
    </row>
    <row r="340" spans="2:12" x14ac:dyDescent="0.25">
      <c r="B340" s="1"/>
      <c r="C340" s="1"/>
      <c r="D340" s="1"/>
      <c r="E340" s="1"/>
      <c r="F340" s="1"/>
      <c r="G340" s="1"/>
      <c r="H340" s="1"/>
      <c r="I340" s="1"/>
      <c r="J340" s="1"/>
      <c r="K340" s="1"/>
      <c r="L340" s="1"/>
    </row>
    <row r="341" spans="2:12" x14ac:dyDescent="0.25">
      <c r="B341" s="1"/>
      <c r="C341" s="1"/>
      <c r="D341" s="1"/>
      <c r="E341" s="1"/>
      <c r="F341" s="1"/>
      <c r="G341" s="1"/>
      <c r="H341" s="1"/>
      <c r="I341" s="1"/>
      <c r="J341" s="1"/>
      <c r="K341" s="1"/>
      <c r="L341" s="1"/>
    </row>
    <row r="342" spans="2:12" x14ac:dyDescent="0.25">
      <c r="B342" s="1"/>
      <c r="C342" s="1"/>
      <c r="D342" s="1"/>
      <c r="E342" s="1"/>
      <c r="F342" s="1"/>
      <c r="G342" s="1"/>
      <c r="H342" s="1"/>
      <c r="I342" s="1"/>
      <c r="J342" s="1"/>
      <c r="K342" s="1"/>
      <c r="L342" s="1"/>
    </row>
    <row r="343" spans="2:12" x14ac:dyDescent="0.25">
      <c r="B343" s="1"/>
      <c r="C343" s="1"/>
      <c r="D343" s="1"/>
      <c r="E343" s="1"/>
      <c r="F343" s="1"/>
      <c r="G343" s="1"/>
      <c r="H343" s="1"/>
      <c r="I343" s="1"/>
      <c r="J343" s="1"/>
      <c r="K343" s="1"/>
      <c r="L343" s="1"/>
    </row>
    <row r="344" spans="2:12" x14ac:dyDescent="0.25">
      <c r="B344" s="1"/>
      <c r="C344" s="1"/>
      <c r="D344" s="1"/>
      <c r="E344" s="1"/>
      <c r="F344" s="1"/>
      <c r="G344" s="1"/>
      <c r="H344" s="1"/>
      <c r="I344" s="1"/>
      <c r="J344" s="1"/>
      <c r="K344" s="1"/>
      <c r="L344" s="1"/>
    </row>
    <row r="345" spans="2:12" x14ac:dyDescent="0.25">
      <c r="B345" s="1"/>
      <c r="C345" s="1"/>
      <c r="D345" s="1"/>
      <c r="E345" s="1"/>
      <c r="F345" s="1"/>
      <c r="G345" s="1"/>
      <c r="H345" s="1"/>
      <c r="I345" s="1"/>
      <c r="J345" s="1"/>
      <c r="K345" s="1"/>
      <c r="L345" s="1"/>
    </row>
    <row r="346" spans="2:12" x14ac:dyDescent="0.25">
      <c r="B346" s="1"/>
      <c r="C346" s="1"/>
      <c r="D346" s="1"/>
      <c r="E346" s="1"/>
      <c r="F346" s="1"/>
      <c r="G346" s="1"/>
      <c r="H346" s="1"/>
      <c r="I346" s="1"/>
      <c r="J346" s="1"/>
      <c r="K346" s="1"/>
      <c r="L346" s="1"/>
    </row>
    <row r="347" spans="2:12" x14ac:dyDescent="0.25">
      <c r="B347" s="1"/>
      <c r="C347" s="1"/>
      <c r="D347" s="1"/>
      <c r="E347" s="1"/>
      <c r="F347" s="1"/>
      <c r="G347" s="1"/>
      <c r="H347" s="1"/>
      <c r="I347" s="1"/>
      <c r="J347" s="1"/>
      <c r="K347" s="1"/>
      <c r="L347" s="1"/>
    </row>
    <row r="348" spans="2:12" x14ac:dyDescent="0.25">
      <c r="B348" s="1"/>
      <c r="C348" s="1"/>
      <c r="D348" s="1"/>
      <c r="E348" s="1"/>
      <c r="F348" s="1"/>
      <c r="G348" s="1"/>
      <c r="H348" s="1"/>
      <c r="I348" s="1"/>
      <c r="J348" s="1"/>
      <c r="K348" s="1"/>
      <c r="L348" s="1"/>
    </row>
    <row r="349" spans="2:12" x14ac:dyDescent="0.25">
      <c r="B349" s="1"/>
      <c r="C349" s="1"/>
      <c r="D349" s="1"/>
      <c r="E349" s="1"/>
      <c r="F349" s="1"/>
      <c r="G349" s="1"/>
      <c r="H349" s="1"/>
      <c r="I349" s="1"/>
      <c r="J349" s="1"/>
      <c r="K349" s="1"/>
      <c r="L349" s="1"/>
    </row>
    <row r="350" spans="2:12" x14ac:dyDescent="0.25">
      <c r="B350" s="1"/>
      <c r="C350" s="1"/>
      <c r="D350" s="1"/>
      <c r="E350" s="1"/>
      <c r="F350" s="1"/>
      <c r="G350" s="1"/>
      <c r="H350" s="1"/>
      <c r="I350" s="1"/>
      <c r="J350" s="1"/>
      <c r="K350" s="1"/>
      <c r="L350" s="1"/>
    </row>
    <row r="351" spans="2:12" x14ac:dyDescent="0.25">
      <c r="B351" s="1"/>
      <c r="C351" s="1"/>
      <c r="D351" s="1"/>
      <c r="E351" s="1"/>
      <c r="F351" s="1"/>
      <c r="G351" s="1"/>
      <c r="H351" s="1"/>
      <c r="I351" s="1"/>
      <c r="J351" s="1"/>
      <c r="K351" s="1"/>
      <c r="L351" s="1"/>
    </row>
    <row r="352" spans="2:12" x14ac:dyDescent="0.25">
      <c r="B352" s="1"/>
      <c r="C352" s="1"/>
      <c r="D352" s="1"/>
      <c r="E352" s="1"/>
      <c r="F352" s="1"/>
      <c r="G352" s="1"/>
      <c r="H352" s="1"/>
      <c r="I352" s="1"/>
      <c r="J352" s="1"/>
      <c r="K352" s="1"/>
      <c r="L352" s="1"/>
    </row>
    <row r="353" spans="2:12" x14ac:dyDescent="0.25">
      <c r="B353" s="1"/>
      <c r="C353" s="1"/>
      <c r="D353" s="1"/>
      <c r="E353" s="1"/>
      <c r="F353" s="1"/>
      <c r="G353" s="1"/>
      <c r="H353" s="1"/>
      <c r="I353" s="1"/>
      <c r="J353" s="1"/>
      <c r="K353" s="1"/>
      <c r="L353" s="1"/>
    </row>
    <row r="354" spans="2:12" x14ac:dyDescent="0.25">
      <c r="B354" s="1"/>
      <c r="C354" s="1"/>
      <c r="D354" s="1"/>
      <c r="E354" s="1"/>
      <c r="F354" s="1"/>
      <c r="G354" s="1"/>
      <c r="H354" s="1"/>
      <c r="I354" s="1"/>
      <c r="J354" s="1"/>
      <c r="K354" s="1"/>
      <c r="L354" s="1"/>
    </row>
    <row r="355" spans="2:12" x14ac:dyDescent="0.25">
      <c r="B355" s="1"/>
      <c r="C355" s="1"/>
      <c r="D355" s="1"/>
      <c r="E355" s="1"/>
      <c r="F355" s="1"/>
      <c r="G355" s="1"/>
      <c r="H355" s="1"/>
      <c r="I355" s="1"/>
      <c r="J355" s="1"/>
      <c r="K355" s="1"/>
      <c r="L355" s="1"/>
    </row>
    <row r="356" spans="2:12" x14ac:dyDescent="0.25">
      <c r="B356" s="1"/>
      <c r="C356" s="1"/>
      <c r="D356" s="1"/>
      <c r="E356" s="1"/>
      <c r="F356" s="1"/>
      <c r="G356" s="1"/>
      <c r="H356" s="1"/>
      <c r="I356" s="1"/>
      <c r="J356" s="1"/>
      <c r="K356" s="1"/>
      <c r="L356" s="1"/>
    </row>
    <row r="357" spans="2:12" x14ac:dyDescent="0.25">
      <c r="B357" s="1"/>
      <c r="C357" s="1"/>
      <c r="D357" s="1"/>
      <c r="E357" s="1"/>
      <c r="F357" s="1"/>
      <c r="G357" s="1"/>
      <c r="H357" s="1"/>
      <c r="I357" s="1"/>
      <c r="J357" s="1"/>
      <c r="K357" s="1"/>
      <c r="L357" s="1"/>
    </row>
    <row r="358" spans="2:12" x14ac:dyDescent="0.25">
      <c r="B358" s="1"/>
      <c r="C358" s="1"/>
      <c r="D358" s="1"/>
      <c r="E358" s="1"/>
      <c r="F358" s="1"/>
      <c r="G358" s="1"/>
      <c r="H358" s="1"/>
      <c r="I358" s="1"/>
      <c r="J358" s="1"/>
      <c r="K358" s="1"/>
      <c r="L358" s="1"/>
    </row>
    <row r="359" spans="2:12" x14ac:dyDescent="0.25">
      <c r="B359" s="1"/>
      <c r="C359" s="1"/>
      <c r="D359" s="1"/>
      <c r="E359" s="1"/>
      <c r="F359" s="1"/>
      <c r="G359" s="1"/>
      <c r="H359" s="1"/>
      <c r="I359" s="1"/>
      <c r="J359" s="1"/>
      <c r="K359" s="1"/>
      <c r="L359" s="1"/>
    </row>
    <row r="360" spans="2:12" x14ac:dyDescent="0.25">
      <c r="B360" s="1"/>
      <c r="C360" s="1"/>
      <c r="D360" s="1"/>
      <c r="E360" s="1"/>
      <c r="F360" s="1"/>
      <c r="G360" s="1"/>
      <c r="H360" s="1"/>
      <c r="I360" s="1"/>
      <c r="J360" s="1"/>
      <c r="K360" s="1"/>
      <c r="L360" s="1"/>
    </row>
    <row r="361" spans="2:12" x14ac:dyDescent="0.25">
      <c r="B361" s="1"/>
      <c r="C361" s="1"/>
      <c r="D361" s="1"/>
      <c r="E361" s="1"/>
      <c r="F361" s="1"/>
      <c r="G361" s="1"/>
      <c r="H361" s="1"/>
      <c r="I361" s="1"/>
      <c r="J361" s="1"/>
      <c r="K361" s="1"/>
      <c r="L361" s="1"/>
    </row>
    <row r="362" spans="2:12" x14ac:dyDescent="0.25">
      <c r="B362" s="1"/>
      <c r="C362" s="1"/>
      <c r="D362" s="1"/>
      <c r="E362" s="1"/>
      <c r="F362" s="1"/>
      <c r="G362" s="1"/>
      <c r="H362" s="1"/>
      <c r="I362" s="1"/>
      <c r="J362" s="1"/>
      <c r="K362" s="1"/>
      <c r="L362" s="1"/>
    </row>
    <row r="363" spans="2:12" x14ac:dyDescent="0.25">
      <c r="B363" s="1"/>
      <c r="C363" s="1"/>
      <c r="D363" s="1"/>
      <c r="E363" s="1"/>
      <c r="F363" s="1"/>
      <c r="G363" s="1"/>
      <c r="H363" s="1"/>
      <c r="I363" s="1"/>
      <c r="J363" s="1"/>
      <c r="K363" s="1"/>
      <c r="L363" s="1"/>
    </row>
  </sheetData>
  <autoFilter ref="A5:K5" xr:uid="{3571954D-51E5-4A11-884E-137DC1F36840}"/>
  <mergeCells count="2">
    <mergeCell ref="B1:L1"/>
    <mergeCell ref="B78:K78"/>
  </mergeCells>
  <pageMargins left="0.7" right="0.7" top="0.75" bottom="0.75" header="0.3" footer="0.3"/>
  <pageSetup paperSize="5" scale="40" orientation="landscape" r:id="rId1"/>
  <headerFooter>
    <oddFooter>&amp;L&amp;F&amp;C&amp;K000000Public&amp;RA-&amp;P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9AA39-7C07-4B59-97CA-9164216F5A67}">
  <sheetPr>
    <pageSetUpPr fitToPage="1"/>
  </sheetPr>
  <dimension ref="B1:W50"/>
  <sheetViews>
    <sheetView showGridLines="0" tabSelected="1" view="pageBreakPreview" zoomScale="70" zoomScaleNormal="70" zoomScaleSheetLayoutView="70" workbookViewId="0">
      <selection activeCell="B1" sqref="B1:V1"/>
    </sheetView>
  </sheetViews>
  <sheetFormatPr defaultRowHeight="15" x14ac:dyDescent="0.25"/>
  <cols>
    <col min="1" max="1" width="2" customWidth="1"/>
    <col min="2" max="2" width="52.140625" customWidth="1"/>
    <col min="3" max="3" width="3" customWidth="1"/>
    <col min="4" max="6" width="14.28515625" customWidth="1"/>
    <col min="7" max="9" width="14.140625" customWidth="1"/>
    <col min="10" max="21" width="14.28515625" customWidth="1"/>
    <col min="22" max="22" width="18.140625" customWidth="1"/>
  </cols>
  <sheetData>
    <row r="1" spans="2:22" ht="63" customHeight="1" x14ac:dyDescent="0.25">
      <c r="B1" s="229" t="s">
        <v>50</v>
      </c>
      <c r="C1" s="229"/>
      <c r="D1" s="230"/>
      <c r="E1" s="230"/>
      <c r="F1" s="230"/>
      <c r="G1" s="230"/>
      <c r="H1" s="230"/>
      <c r="I1" s="230"/>
      <c r="J1" s="230"/>
      <c r="K1" s="230"/>
      <c r="L1" s="230"/>
      <c r="M1" s="230"/>
      <c r="N1" s="230"/>
      <c r="O1" s="230"/>
      <c r="P1" s="230"/>
      <c r="Q1" s="230"/>
      <c r="R1" s="230"/>
      <c r="S1" s="230"/>
      <c r="T1" s="230"/>
      <c r="U1" s="230"/>
      <c r="V1" s="230"/>
    </row>
    <row r="2" spans="2:22" x14ac:dyDescent="0.25">
      <c r="B2" s="2" t="s">
        <v>51</v>
      </c>
      <c r="C2" s="2"/>
    </row>
    <row r="3" spans="2:22" x14ac:dyDescent="0.25">
      <c r="B3" s="2" t="s">
        <v>52</v>
      </c>
      <c r="C3" s="2"/>
    </row>
    <row r="5" spans="2:22" x14ac:dyDescent="0.25">
      <c r="D5" s="231" t="s">
        <v>53</v>
      </c>
      <c r="E5" s="232"/>
      <c r="F5" s="233"/>
      <c r="G5" s="231" t="s">
        <v>54</v>
      </c>
      <c r="H5" s="232"/>
      <c r="I5" s="233"/>
      <c r="J5" s="231" t="s">
        <v>55</v>
      </c>
      <c r="K5" s="232"/>
      <c r="L5" s="233"/>
      <c r="M5" s="231" t="s">
        <v>56</v>
      </c>
      <c r="N5" s="232"/>
      <c r="O5" s="233"/>
      <c r="P5" s="231" t="s">
        <v>57</v>
      </c>
      <c r="Q5" s="232"/>
      <c r="R5" s="233"/>
      <c r="S5" s="231" t="s">
        <v>58</v>
      </c>
      <c r="T5" s="232"/>
      <c r="U5" s="233"/>
    </row>
    <row r="6" spans="2:22" ht="56.25" customHeight="1" x14ac:dyDescent="0.25">
      <c r="D6" s="11" t="s">
        <v>59</v>
      </c>
      <c r="E6" s="12" t="s">
        <v>60</v>
      </c>
      <c r="F6" s="13" t="s">
        <v>61</v>
      </c>
      <c r="G6" s="4" t="s">
        <v>59</v>
      </c>
      <c r="H6" s="4" t="s">
        <v>60</v>
      </c>
      <c r="I6" s="15" t="s">
        <v>61</v>
      </c>
      <c r="J6" s="4" t="s">
        <v>59</v>
      </c>
      <c r="K6" s="4" t="s">
        <v>60</v>
      </c>
      <c r="L6" s="15" t="s">
        <v>61</v>
      </c>
      <c r="M6" s="4" t="s">
        <v>59</v>
      </c>
      <c r="N6" s="4" t="s">
        <v>60</v>
      </c>
      <c r="O6" s="15" t="s">
        <v>61</v>
      </c>
      <c r="P6" s="4" t="s">
        <v>59</v>
      </c>
      <c r="Q6" s="4" t="s">
        <v>60</v>
      </c>
      <c r="R6" s="15" t="s">
        <v>61</v>
      </c>
      <c r="S6" s="4" t="s">
        <v>59</v>
      </c>
      <c r="T6" s="4" t="s">
        <v>60</v>
      </c>
      <c r="U6" s="14" t="s">
        <v>61</v>
      </c>
      <c r="V6" s="19" t="s">
        <v>200</v>
      </c>
    </row>
    <row r="7" spans="2:22" x14ac:dyDescent="0.25">
      <c r="B7" s="40" t="s">
        <v>62</v>
      </c>
      <c r="C7" s="45"/>
      <c r="D7" s="6"/>
      <c r="E7" s="5"/>
      <c r="F7" s="7"/>
      <c r="G7" s="5"/>
      <c r="H7" s="5"/>
      <c r="I7" s="7"/>
      <c r="J7" s="5"/>
      <c r="K7" s="5"/>
      <c r="L7" s="7"/>
      <c r="M7" s="5"/>
      <c r="N7" s="5"/>
      <c r="O7" s="7"/>
      <c r="P7" s="5"/>
      <c r="Q7" s="5"/>
      <c r="R7" s="7"/>
      <c r="S7" s="5"/>
      <c r="T7" s="5"/>
      <c r="U7" s="7"/>
      <c r="V7" s="20"/>
    </row>
    <row r="8" spans="2:22" x14ac:dyDescent="0.25">
      <c r="B8" s="37" t="str">
        <f>API</f>
        <v>Agricultural &amp; Pumping Interruptible (API)</v>
      </c>
      <c r="C8" s="128"/>
      <c r="D8" s="134">
        <v>917</v>
      </c>
      <c r="E8" s="132">
        <f t="shared" ref="E8:E15" si="0">IF(D8="","",(IFERROR(D8*(INDEX(ExAnteData,MATCH($B8,ExAnteProg,0),MATCH(D$5,ExAnteMo,0)))/1000,0)))</f>
        <v>6.9238004211902613</v>
      </c>
      <c r="F8" s="133">
        <f t="shared" ref="F8:F15" si="1">IF(D8="","",(IFERROR(D8*(INDEX(ExPostData,MATCH($B8,ExPostProg,0),MATCH(D$5,ExPostMo,0)))/1000,0)))</f>
        <v>27.364068802690799</v>
      </c>
      <c r="G8" s="134">
        <v>929</v>
      </c>
      <c r="H8" s="132">
        <f t="shared" ref="H8:H15" si="2">IF(G8="","",(IFERROR(G8*(INDEX(ExAnteData,MATCH($B8,ExAnteProg,0),MATCH(G$5,ExAnteMo,0)))/1000,0)))</f>
        <v>12.464049607658385</v>
      </c>
      <c r="I8" s="133">
        <f t="shared" ref="I8:I15" si="3">IF(G8="","",(IFERROR(G8*(INDEX(ExPostData,MATCH($B8,ExPostProg,0),MATCH(G$5,ExPostMo,0)))/1000,0)))</f>
        <v>27.722159125081518</v>
      </c>
      <c r="J8" s="134">
        <v>931</v>
      </c>
      <c r="K8" s="132">
        <f t="shared" ref="K8:K15" si="4">IF(J8="","",(IFERROR(J8*(INDEX(ExAnteData,MATCH($B8,ExAnteProg,0),MATCH(J$5,ExAnteMo,0)))/1000,0)))</f>
        <v>14.378684571075441</v>
      </c>
      <c r="L8" s="133">
        <f t="shared" ref="L8:L15" si="5">IF(J8="","",(IFERROR(J8*(INDEX(ExPostData,MATCH($B8,ExPostProg,0),MATCH(J$5,ExPostMo,0)))/1000,0)))</f>
        <v>27.781840845479973</v>
      </c>
      <c r="M8" s="134">
        <v>931</v>
      </c>
      <c r="N8" s="132">
        <f t="shared" ref="N8:N15" si="6">IF(M8="","",(IFERROR(M8*(INDEX(ExAnteData,MATCH($B8,ExAnteProg,0),MATCH(M$5,ExAnteMo,0)))/1000,0)))</f>
        <v>26.858124617799998</v>
      </c>
      <c r="O8" s="133">
        <f t="shared" ref="O8:O15" si="7">IF(M8="","",(IFERROR(M8*(INDEX(ExPostData,MATCH($B8,ExPostProg,0),MATCH(M$5,ExPostMo,0)))/1000,0)))</f>
        <v>20.801617885999999</v>
      </c>
      <c r="P8" s="207">
        <v>932</v>
      </c>
      <c r="Q8" s="132">
        <f t="shared" ref="Q8:Q15" si="8">IF(P8="","",(IFERROR(P8*(INDEX(ExAnteData,MATCH($B8,ExAnteProg,0),MATCH(P$5,ExAnteMo,0)))/1000,0)))</f>
        <v>29.307207412912</v>
      </c>
      <c r="R8" s="133">
        <f t="shared" ref="R8:R15" si="9">IF(P8="","",(IFERROR(P8*(INDEX(ExPostData,MATCH($B8,ExPostProg,0),MATCH(P$5,ExPostMo,0)))/1000,0)))</f>
        <v>20.823961445510907</v>
      </c>
      <c r="S8" s="207">
        <v>931</v>
      </c>
      <c r="T8" s="132">
        <f t="shared" ref="T8:T15" si="10">IF(S8="","",(IFERROR(S8*(INDEX(ExAnteData,MATCH($B8,ExAnteProg,0),MATCH(S$5,ExAnteMo,0)))/1000,0)))</f>
        <v>33.563386728802001</v>
      </c>
      <c r="U8" s="133">
        <f t="shared" ref="U8:U15" si="11">IF(S8="","",(IFERROR(S8*(INDEX(ExPostData,MATCH($B8,ExPostProg,0),MATCH(S$5,ExPostMo,0)))/1000,0)))</f>
        <v>20.801618139238901</v>
      </c>
      <c r="V8" s="160">
        <v>12892</v>
      </c>
    </row>
    <row r="9" spans="2:22" x14ac:dyDescent="0.25">
      <c r="B9" s="37" t="str">
        <f>BIP_15</f>
        <v>Base Interruptible Program (BIP) 15 Minute Option</v>
      </c>
      <c r="C9" s="128"/>
      <c r="D9" s="134">
        <v>44</v>
      </c>
      <c r="E9" s="132">
        <f t="shared" si="0"/>
        <v>156.28301039999999</v>
      </c>
      <c r="F9" s="133">
        <f t="shared" si="1"/>
        <v>137.9581133337</v>
      </c>
      <c r="G9" s="134">
        <v>44</v>
      </c>
      <c r="H9" s="132">
        <f t="shared" si="2"/>
        <v>166.59886319999998</v>
      </c>
      <c r="I9" s="133">
        <f t="shared" si="3"/>
        <v>137.9581133337</v>
      </c>
      <c r="J9" s="134">
        <v>44</v>
      </c>
      <c r="K9" s="132">
        <f t="shared" si="4"/>
        <v>156.4889656</v>
      </c>
      <c r="L9" s="133">
        <f t="shared" si="5"/>
        <v>137.9581133337</v>
      </c>
      <c r="M9" s="134">
        <v>44</v>
      </c>
      <c r="N9" s="132">
        <f t="shared" si="6"/>
        <v>164.74998319999997</v>
      </c>
      <c r="O9" s="133">
        <f t="shared" si="7"/>
        <v>180.360444</v>
      </c>
      <c r="P9" s="207">
        <v>44</v>
      </c>
      <c r="Q9" s="132">
        <f t="shared" si="8"/>
        <v>184.33287839999997</v>
      </c>
      <c r="R9" s="133">
        <f t="shared" si="9"/>
        <v>180.360444</v>
      </c>
      <c r="S9" s="207">
        <v>43</v>
      </c>
      <c r="T9" s="132">
        <f t="shared" si="10"/>
        <v>191.15171839999996</v>
      </c>
      <c r="U9" s="133">
        <f t="shared" si="11"/>
        <v>176.26134299999998</v>
      </c>
      <c r="V9" s="160">
        <v>7759</v>
      </c>
    </row>
    <row r="10" spans="2:22" x14ac:dyDescent="0.25">
      <c r="B10" s="37" t="str">
        <f>BIP_30</f>
        <v>Base Interruptible Program (BIP) 30 Minute Option</v>
      </c>
      <c r="C10" s="128"/>
      <c r="D10" s="134">
        <v>289</v>
      </c>
      <c r="E10" s="132">
        <f t="shared" si="0"/>
        <v>311.23683334000003</v>
      </c>
      <c r="F10" s="133">
        <f t="shared" si="1"/>
        <v>182.7727915397351</v>
      </c>
      <c r="G10" s="134">
        <v>287</v>
      </c>
      <c r="H10" s="132">
        <f t="shared" si="2"/>
        <v>330.1521146</v>
      </c>
      <c r="I10" s="133">
        <f t="shared" si="3"/>
        <v>181.50792793046361</v>
      </c>
      <c r="J10" s="134">
        <v>289</v>
      </c>
      <c r="K10" s="132">
        <f t="shared" si="4"/>
        <v>308.19412574000006</v>
      </c>
      <c r="L10" s="133">
        <f t="shared" si="5"/>
        <v>182.7727915397351</v>
      </c>
      <c r="M10" s="134">
        <v>296</v>
      </c>
      <c r="N10" s="132">
        <f t="shared" si="6"/>
        <v>314.45397199999991</v>
      </c>
      <c r="O10" s="133">
        <f t="shared" si="7"/>
        <v>284.55612939999997</v>
      </c>
      <c r="P10" s="207">
        <v>301</v>
      </c>
      <c r="Q10" s="132">
        <f t="shared" si="8"/>
        <v>337.70161026</v>
      </c>
      <c r="R10" s="133">
        <f t="shared" si="9"/>
        <v>289.36282077499999</v>
      </c>
      <c r="S10" s="207">
        <v>305</v>
      </c>
      <c r="T10" s="132">
        <f t="shared" si="10"/>
        <v>313.71593009999992</v>
      </c>
      <c r="U10" s="133">
        <f t="shared" si="11"/>
        <v>293.208173875</v>
      </c>
      <c r="V10" s="160">
        <v>7759</v>
      </c>
    </row>
    <row r="11" spans="2:22" x14ac:dyDescent="0.25">
      <c r="B11" s="37" t="str">
        <f>CBP_DA</f>
        <v>Capacity Bidding Program (CBP) Day Ahead</v>
      </c>
      <c r="C11" s="128"/>
      <c r="D11" s="259"/>
      <c r="E11" s="260"/>
      <c r="F11" s="261"/>
      <c r="G11" s="259"/>
      <c r="H11" s="260"/>
      <c r="I11" s="261"/>
      <c r="J11" s="259"/>
      <c r="K11" s="260"/>
      <c r="L11" s="261"/>
      <c r="M11" s="259"/>
      <c r="N11" s="260"/>
      <c r="O11" s="261"/>
      <c r="P11" s="262"/>
      <c r="Q11" s="260"/>
      <c r="R11" s="261"/>
      <c r="S11" s="262"/>
      <c r="T11" s="260"/>
      <c r="U11" s="261"/>
      <c r="V11" s="160">
        <v>5094696</v>
      </c>
    </row>
    <row r="12" spans="2:22" x14ac:dyDescent="0.25">
      <c r="B12" s="37" t="str">
        <f>CBP_DO</f>
        <v>Capacity Bidding Program (CBP) Day Of</v>
      </c>
      <c r="C12" s="128"/>
      <c r="D12" s="259"/>
      <c r="E12" s="260"/>
      <c r="F12" s="261"/>
      <c r="G12" s="259"/>
      <c r="H12" s="260"/>
      <c r="I12" s="261"/>
      <c r="J12" s="259"/>
      <c r="K12" s="260"/>
      <c r="L12" s="261"/>
      <c r="M12" s="259"/>
      <c r="N12" s="260"/>
      <c r="O12" s="261"/>
      <c r="P12" s="262"/>
      <c r="Q12" s="260"/>
      <c r="R12" s="261"/>
      <c r="S12" s="262"/>
      <c r="T12" s="260"/>
      <c r="U12" s="261"/>
      <c r="V12" s="160">
        <v>5094696</v>
      </c>
    </row>
    <row r="13" spans="2:22" x14ac:dyDescent="0.25">
      <c r="B13" s="37" t="str">
        <f>SEP</f>
        <v>Smart Energy Program (SEP)</v>
      </c>
      <c r="C13" s="128"/>
      <c r="D13" s="134">
        <v>64344</v>
      </c>
      <c r="E13" s="132">
        <f t="shared" si="0"/>
        <v>0</v>
      </c>
      <c r="F13" s="133">
        <f t="shared" si="1"/>
        <v>46.720287559032442</v>
      </c>
      <c r="G13" s="134">
        <v>65092</v>
      </c>
      <c r="H13" s="132">
        <f t="shared" si="2"/>
        <v>0</v>
      </c>
      <c r="I13" s="133">
        <f t="shared" si="3"/>
        <v>47.263411628007887</v>
      </c>
      <c r="J13" s="134">
        <v>67150</v>
      </c>
      <c r="K13" s="132">
        <f t="shared" si="4"/>
        <v>0.91261106431484218</v>
      </c>
      <c r="L13" s="133">
        <f t="shared" si="5"/>
        <v>48.757728919386864</v>
      </c>
      <c r="M13" s="134">
        <v>66598</v>
      </c>
      <c r="N13" s="132">
        <f t="shared" si="6"/>
        <v>20.458918919599999</v>
      </c>
      <c r="O13" s="133">
        <f t="shared" si="7"/>
        <v>57.602175252999992</v>
      </c>
      <c r="P13" s="207">
        <v>67727</v>
      </c>
      <c r="Q13" s="132">
        <f t="shared" si="8"/>
        <v>14.974224707388879</v>
      </c>
      <c r="R13" s="133">
        <f t="shared" si="9"/>
        <v>58.578664264798164</v>
      </c>
      <c r="S13" s="207">
        <v>67006</v>
      </c>
      <c r="T13" s="132">
        <f t="shared" si="10"/>
        <v>28.340131357693675</v>
      </c>
      <c r="U13" s="133">
        <f t="shared" si="11"/>
        <v>57.955054523706437</v>
      </c>
      <c r="V13" s="160">
        <v>2097875</v>
      </c>
    </row>
    <row r="14" spans="2:22" x14ac:dyDescent="0.25">
      <c r="B14" s="37" t="str">
        <f>SDPC</f>
        <v>Summer Discount Plan Program (SDP) - Commercial</v>
      </c>
      <c r="C14" s="128"/>
      <c r="D14" s="134">
        <v>7010</v>
      </c>
      <c r="E14" s="132">
        <f t="shared" si="0"/>
        <v>11.253040317456799</v>
      </c>
      <c r="F14" s="133">
        <f t="shared" si="1"/>
        <v>14.015761547088623</v>
      </c>
      <c r="G14" s="134">
        <v>6996</v>
      </c>
      <c r="H14" s="132">
        <f t="shared" si="2"/>
        <v>12.745615105108914</v>
      </c>
      <c r="I14" s="133">
        <f t="shared" si="3"/>
        <v>13.987770011901855</v>
      </c>
      <c r="J14" s="134">
        <v>6976</v>
      </c>
      <c r="K14" s="132">
        <f t="shared" si="4"/>
        <v>12.835687199556689</v>
      </c>
      <c r="L14" s="133">
        <f t="shared" si="5"/>
        <v>13.947782104492187</v>
      </c>
      <c r="M14" s="134">
        <v>6958</v>
      </c>
      <c r="N14" s="132">
        <f t="shared" si="6"/>
        <v>12.833859833199998</v>
      </c>
      <c r="O14" s="133">
        <f t="shared" si="7"/>
        <v>14.898796625999999</v>
      </c>
      <c r="P14" s="207">
        <v>6925</v>
      </c>
      <c r="Q14" s="132">
        <f t="shared" si="8"/>
        <v>12.742014746959359</v>
      </c>
      <c r="R14" s="133">
        <f t="shared" si="9"/>
        <v>14.828134059906006</v>
      </c>
      <c r="S14" s="207">
        <v>6900</v>
      </c>
      <c r="T14" s="132">
        <f t="shared" si="10"/>
        <v>14.494062676921466</v>
      </c>
      <c r="U14" s="133">
        <f t="shared" si="11"/>
        <v>14.774602890014648</v>
      </c>
      <c r="V14" s="160">
        <v>294947</v>
      </c>
    </row>
    <row r="15" spans="2:22" x14ac:dyDescent="0.25">
      <c r="B15" s="37" t="str">
        <f>SDPR</f>
        <v>Summer Discount Plan Program (SDP) - Residential</v>
      </c>
      <c r="C15" s="128"/>
      <c r="D15" s="135">
        <v>163380</v>
      </c>
      <c r="E15" s="132">
        <f t="shared" si="0"/>
        <v>0</v>
      </c>
      <c r="F15" s="133">
        <f t="shared" si="1"/>
        <v>124.04409096479417</v>
      </c>
      <c r="G15" s="135">
        <v>163903</v>
      </c>
      <c r="H15" s="132">
        <f t="shared" si="2"/>
        <v>0</v>
      </c>
      <c r="I15" s="133">
        <f t="shared" si="3"/>
        <v>124.44117175543309</v>
      </c>
      <c r="J15" s="135">
        <v>162690</v>
      </c>
      <c r="K15" s="132">
        <f t="shared" si="4"/>
        <v>0.18706006175652298</v>
      </c>
      <c r="L15" s="133">
        <f t="shared" si="5"/>
        <v>123.52021764636039</v>
      </c>
      <c r="M15" s="135">
        <v>159611</v>
      </c>
      <c r="N15" s="132">
        <f t="shared" si="6"/>
        <v>26.883823407399994</v>
      </c>
      <c r="O15" s="133">
        <f t="shared" si="7"/>
        <v>135.268247557</v>
      </c>
      <c r="P15" s="207">
        <v>159160</v>
      </c>
      <c r="Q15" s="132">
        <f t="shared" si="8"/>
        <v>11.247044673035836</v>
      </c>
      <c r="R15" s="133">
        <f t="shared" si="9"/>
        <v>134.88602659225464</v>
      </c>
      <c r="S15" s="207">
        <v>159090</v>
      </c>
      <c r="T15" s="132">
        <f t="shared" si="10"/>
        <v>136.58411887492696</v>
      </c>
      <c r="U15" s="133">
        <f t="shared" si="11"/>
        <v>134.82670250415802</v>
      </c>
      <c r="V15" s="160">
        <v>2145914</v>
      </c>
    </row>
    <row r="16" spans="2:22" ht="15.75" thickBot="1" x14ac:dyDescent="0.3">
      <c r="B16" s="125" t="s">
        <v>63</v>
      </c>
      <c r="C16" s="129"/>
      <c r="D16" s="263"/>
      <c r="E16" s="264"/>
      <c r="F16" s="265"/>
      <c r="G16" s="263"/>
      <c r="H16" s="264"/>
      <c r="I16" s="265"/>
      <c r="J16" s="263"/>
      <c r="K16" s="264"/>
      <c r="L16" s="265"/>
      <c r="M16" s="263"/>
      <c r="N16" s="264"/>
      <c r="O16" s="265"/>
      <c r="P16" s="263"/>
      <c r="Q16" s="264"/>
      <c r="R16" s="265"/>
      <c r="S16" s="266"/>
      <c r="T16" s="264"/>
      <c r="U16" s="265"/>
      <c r="V16" s="18"/>
    </row>
    <row r="17" spans="2:22" ht="15.75" thickTop="1" x14ac:dyDescent="0.25">
      <c r="B17" s="47" t="s">
        <v>64</v>
      </c>
      <c r="C17" s="46"/>
      <c r="D17" s="8"/>
      <c r="F17" s="9"/>
      <c r="I17" s="9"/>
      <c r="L17" s="9"/>
      <c r="O17" s="9"/>
      <c r="P17" s="207"/>
      <c r="Q17" s="132"/>
      <c r="R17" s="133"/>
      <c r="S17" s="207"/>
      <c r="T17" s="132"/>
      <c r="U17" s="133"/>
      <c r="V17" s="18"/>
    </row>
    <row r="18" spans="2:22" x14ac:dyDescent="0.25">
      <c r="B18" s="37" t="str">
        <f>CPP</f>
        <v>Critical Peak Pricing (CPP)</v>
      </c>
      <c r="C18" s="128"/>
      <c r="D18" s="138">
        <v>239406</v>
      </c>
      <c r="E18" s="132">
        <v>11.1994370922</v>
      </c>
      <c r="F18" s="133">
        <v>15.439600473200001</v>
      </c>
      <c r="G18" s="138">
        <v>237810</v>
      </c>
      <c r="H18" s="132">
        <v>11.585571830199999</v>
      </c>
      <c r="I18" s="133">
        <v>15.284016359400001</v>
      </c>
      <c r="J18" s="138">
        <v>234447</v>
      </c>
      <c r="K18" s="132">
        <v>12.221403427600002</v>
      </c>
      <c r="L18" s="133">
        <v>14.9787941248</v>
      </c>
      <c r="M18" s="138">
        <v>232700</v>
      </c>
      <c r="N18" s="132">
        <v>8.3429797053999994</v>
      </c>
      <c r="O18" s="133">
        <v>9.7064193609204885</v>
      </c>
      <c r="P18" s="207">
        <v>230994</v>
      </c>
      <c r="Q18" s="132">
        <v>9.0356629579799996</v>
      </c>
      <c r="R18" s="133">
        <v>9.7323259610145829</v>
      </c>
      <c r="S18" s="207">
        <v>229401</v>
      </c>
      <c r="T18" s="205">
        <v>11.767349552719999</v>
      </c>
      <c r="U18" s="205">
        <v>9.6545384343261329</v>
      </c>
      <c r="V18" s="160">
        <v>3480329</v>
      </c>
    </row>
    <row r="19" spans="2:22" x14ac:dyDescent="0.25">
      <c r="B19" s="37" t="str">
        <f>OBMC</f>
        <v>Optional Binding Mandatory Curtailment (OBMC)</v>
      </c>
      <c r="C19" s="128"/>
      <c r="D19" s="267"/>
      <c r="E19" s="260"/>
      <c r="F19" s="261"/>
      <c r="G19" s="267"/>
      <c r="H19" s="260"/>
      <c r="I19" s="261"/>
      <c r="J19" s="267"/>
      <c r="K19" s="260"/>
      <c r="L19" s="261"/>
      <c r="M19" s="267"/>
      <c r="N19" s="260"/>
      <c r="O19" s="261"/>
      <c r="P19" s="262"/>
      <c r="Q19" s="260"/>
      <c r="R19" s="261"/>
      <c r="S19" s="262"/>
      <c r="T19" s="260"/>
      <c r="U19" s="261"/>
      <c r="V19" s="159" t="s">
        <v>76</v>
      </c>
    </row>
    <row r="20" spans="2:22" x14ac:dyDescent="0.25">
      <c r="B20" s="37" t="str">
        <f>RTP</f>
        <v>Real Time Pricing (RTP)</v>
      </c>
      <c r="C20" s="128"/>
      <c r="D20" s="138">
        <v>95</v>
      </c>
      <c r="E20" s="132">
        <f>IF(D20="","",(IFERROR(D20*(INDEX(ExAnteData,MATCH($B20,ExAnteProg,0),MATCH(D$5,ExAnteMo,0)))/1000,0)))</f>
        <v>-3.455810546875E-4</v>
      </c>
      <c r="F20" s="133">
        <f>IF(D20="","",(IFERROR(D20*(INDEX(ExPostData,MATCH($B20,ExPostProg,0),MATCH(D$5,ExPostMo,0)))/1000,0)))</f>
        <v>1.9520111083984375E-2</v>
      </c>
      <c r="G20" s="138">
        <v>96</v>
      </c>
      <c r="H20" s="132">
        <f>IF(G20="","",(IFERROR(G20*(INDEX(ExAnteData,MATCH($B20,ExAnteProg,0),MATCH(G$5,ExAnteMo,0)))/1000,0)))</f>
        <v>4.6584374999999997E-2</v>
      </c>
      <c r="I20" s="133">
        <f>IF(G20="","",(IFERROR(G20*(INDEX(ExPostData,MATCH($B20,ExPostProg,0),MATCH(G$5,ExPostMo,0)))/1000,0)))</f>
        <v>1.9556249999999997E-2</v>
      </c>
      <c r="J20" s="138">
        <v>94</v>
      </c>
      <c r="K20" s="132">
        <f>IF(J20="","",(IFERROR(J20*(INDEX(ExAnteData,MATCH($B20,ExAnteProg,0),MATCH(J$5,ExAnteMo,0)))/1000,0)))</f>
        <v>-0.19437930908203124</v>
      </c>
      <c r="L20" s="133">
        <f>IF(J20="","",(IFERROR(J20*(INDEX(ExPostData,MATCH($B20,ExPostProg,0),MATCH(J$5,ExPostMo,0)))/1000,0)))</f>
        <v>3.1394531250000003E-2</v>
      </c>
      <c r="M20" s="138">
        <v>94</v>
      </c>
      <c r="N20" s="132">
        <f>IF(M20="","",(IFERROR(M20*(INDEX(ExAnteData,MATCH($B20,ExAnteProg,0),MATCH(M$5,ExAnteMo,0)))/1000,0)))</f>
        <v>9.3894663223999988</v>
      </c>
      <c r="O20" s="133">
        <f>IF(M20="","",(IFERROR(M20*(INDEX(ExPostData,MATCH($B20,ExPostProg,0),MATCH(M$5,ExPostMo,0)))/1000,0)))</f>
        <v>25.145324417499999</v>
      </c>
      <c r="P20" s="207">
        <v>93</v>
      </c>
      <c r="Q20" s="205">
        <f>IF(P20="","",(IFERROR(P20*(INDEX(ExAnteData,MATCH($B20,ExAnteProg,0),MATCH(P$5,ExAnteMo,0)))/1000,0)))</f>
        <v>0.86244104003906252</v>
      </c>
      <c r="R20" s="206">
        <f>IF(P20="","",(IFERROR(P20*(INDEX(ExPostData,MATCH($B20,ExPostProg,0),MATCH(P$5,ExPostMo,0)))/1000,0)))</f>
        <v>-20.987312024922279</v>
      </c>
      <c r="S20" s="207">
        <v>92</v>
      </c>
      <c r="T20" s="205">
        <f>IF(S20="","",(IFERROR(S20*(INDEX(ExAnteData,MATCH($B20,ExAnteProg,0),MATCH(S$5,ExAnteMo,0)))/1000,0)))</f>
        <v>14.793616845703125</v>
      </c>
      <c r="U20" s="206">
        <f>IF(S20="","",(IFERROR(S20*(INDEX(ExPostData,MATCH($B20,ExPostProg,0),MATCH(S$5,ExPostMo,0)))/1000,0)))</f>
        <v>-4.8194906845703125</v>
      </c>
      <c r="V20" s="160">
        <v>427800</v>
      </c>
    </row>
    <row r="21" spans="2:22" x14ac:dyDescent="0.25">
      <c r="B21" s="37" t="str">
        <f>SLRP</f>
        <v>Scheduled Load Reduction Program (SLRP)</v>
      </c>
      <c r="C21" s="128"/>
      <c r="D21" s="139">
        <v>0</v>
      </c>
      <c r="E21" s="132">
        <f>IF(D21="","",(IFERROR(D21*(INDEX(ExAnteData,MATCH($B21,ExAnteProg,0),MATCH(D$5,ExAnteMo,0)))/1000,0)))</f>
        <v>0</v>
      </c>
      <c r="F21" s="133">
        <f>IF(D21="","",(IFERROR(D21*(INDEX(ExPostData,MATCH($B21,ExPostProg,0),MATCH(D$5,ExPostMo,0)))/1000,0)))</f>
        <v>0</v>
      </c>
      <c r="G21" s="139">
        <v>0</v>
      </c>
      <c r="H21" s="132">
        <f>IF(G21="","",(IFERROR(G21*(INDEX(ExAnteData,MATCH($B21,ExAnteProg,0),MATCH(G$5,ExAnteMo,0)))/1000,0)))</f>
        <v>0</v>
      </c>
      <c r="I21" s="133">
        <f>IF(G21="","",(IFERROR(G21*(INDEX(ExPostData,MATCH($B21,ExPostProg,0),MATCH(G$5,ExPostMo,0)))/1000,0)))</f>
        <v>0</v>
      </c>
      <c r="J21" s="139">
        <v>0</v>
      </c>
      <c r="K21" s="132">
        <f>IF(J21="","",(IFERROR(J21*(INDEX(ExAnteData,MATCH($B21,ExAnteProg,0),MATCH(J$5,ExAnteMo,0)))/1000,0)))</f>
        <v>0</v>
      </c>
      <c r="L21" s="133">
        <f>IF(J21="","",(IFERROR(J21*(INDEX(ExPostData,MATCH($B21,ExPostProg,0),MATCH(J$5,ExPostMo,0)))/1000,0)))</f>
        <v>0</v>
      </c>
      <c r="M21" s="139">
        <v>0</v>
      </c>
      <c r="N21" s="132">
        <f>IF(M21="","",(IFERROR(M21*(INDEX(ExAnteData,MATCH($B21,ExAnteProg,0),MATCH(M$5,ExAnteMo,0)))/1000,0)))</f>
        <v>0</v>
      </c>
      <c r="O21" s="133">
        <f>IF(M21="","",(IFERROR(M21*(INDEX(ExPostData,MATCH($B21,ExPostProg,0),MATCH(M$5,ExPostMo,0)))/1000,0)))</f>
        <v>0</v>
      </c>
      <c r="P21" s="207">
        <v>0</v>
      </c>
      <c r="Q21" s="205">
        <f>IF(P21="","",(IFERROR(P21*(INDEX(ExAnteData,MATCH($B21,ExAnteProg,0),MATCH(P$5,ExAnteMo,0)))/1000,0)))</f>
        <v>0</v>
      </c>
      <c r="R21" s="206">
        <f>IF(P21="","",(IFERROR(P21*(INDEX(ExPostData,MATCH($B21,ExPostProg,0),MATCH(P$5,ExPostMo,0)))/1000,0)))</f>
        <v>0</v>
      </c>
      <c r="S21" s="207">
        <v>0</v>
      </c>
      <c r="T21" s="205">
        <f>IF(S21="","",(IFERROR(S21*(INDEX(ExAnteData,MATCH($B21,ExAnteProg,0),MATCH(S$5,ExAnteMo,0)))/1000,0)))</f>
        <v>0</v>
      </c>
      <c r="U21" s="206">
        <f>IF(S21="","",(IFERROR(S21*(INDEX(ExPostData,MATCH($B21,ExPostProg,0),MATCH(S$5,ExPostMo,0)))/1000,0)))</f>
        <v>0</v>
      </c>
      <c r="V21" s="161">
        <v>15800</v>
      </c>
    </row>
    <row r="22" spans="2:22" ht="15.75" thickBot="1" x14ac:dyDescent="0.3">
      <c r="B22" s="126" t="s">
        <v>63</v>
      </c>
      <c r="C22" s="130"/>
      <c r="D22" s="266"/>
      <c r="E22" s="264"/>
      <c r="F22" s="265"/>
      <c r="G22" s="266"/>
      <c r="H22" s="264"/>
      <c r="I22" s="265"/>
      <c r="J22" s="266"/>
      <c r="K22" s="264"/>
      <c r="L22" s="265"/>
      <c r="M22" s="266"/>
      <c r="N22" s="264"/>
      <c r="O22" s="265"/>
      <c r="P22" s="266"/>
      <c r="Q22" s="264"/>
      <c r="R22" s="265"/>
      <c r="S22" s="266"/>
      <c r="T22" s="264"/>
      <c r="U22" s="265"/>
    </row>
    <row r="23" spans="2:22" ht="16.5" thickTop="1" thickBot="1" x14ac:dyDescent="0.3">
      <c r="B23" s="127" t="s">
        <v>65</v>
      </c>
      <c r="C23" s="131"/>
      <c r="D23" s="266"/>
      <c r="E23" s="264"/>
      <c r="F23" s="265"/>
      <c r="G23" s="266"/>
      <c r="H23" s="264"/>
      <c r="I23" s="265"/>
      <c r="J23" s="266"/>
      <c r="K23" s="264"/>
      <c r="L23" s="265"/>
      <c r="M23" s="266"/>
      <c r="N23" s="264"/>
      <c r="O23" s="265"/>
      <c r="P23" s="266"/>
      <c r="Q23" s="264"/>
      <c r="R23" s="265"/>
      <c r="S23" s="266"/>
      <c r="T23" s="264"/>
      <c r="U23" s="265"/>
    </row>
    <row r="24" spans="2:22" ht="15.75" thickTop="1" x14ac:dyDescent="0.25"/>
    <row r="26" spans="2:22" x14ac:dyDescent="0.25">
      <c r="D26" s="231" t="s">
        <v>66</v>
      </c>
      <c r="E26" s="232"/>
      <c r="F26" s="233"/>
      <c r="G26" s="231" t="s">
        <v>67</v>
      </c>
      <c r="H26" s="232"/>
      <c r="I26" s="233"/>
      <c r="J26" s="231" t="s">
        <v>68</v>
      </c>
      <c r="K26" s="232"/>
      <c r="L26" s="233"/>
      <c r="M26" s="231" t="s">
        <v>69</v>
      </c>
      <c r="N26" s="232"/>
      <c r="O26" s="233"/>
      <c r="P26" s="231" t="s">
        <v>70</v>
      </c>
      <c r="Q26" s="232"/>
      <c r="R26" s="233"/>
      <c r="S26" s="231" t="s">
        <v>71</v>
      </c>
      <c r="T26" s="232"/>
      <c r="U26" s="233"/>
    </row>
    <row r="27" spans="2:22" ht="56.25" customHeight="1" x14ac:dyDescent="0.25">
      <c r="D27" s="11" t="s">
        <v>59</v>
      </c>
      <c r="E27" s="12" t="s">
        <v>60</v>
      </c>
      <c r="F27" s="13" t="s">
        <v>61</v>
      </c>
      <c r="G27" s="4" t="s">
        <v>59</v>
      </c>
      <c r="H27" s="4" t="s">
        <v>60</v>
      </c>
      <c r="I27" s="15" t="s">
        <v>61</v>
      </c>
      <c r="J27" s="4" t="s">
        <v>59</v>
      </c>
      <c r="K27" s="4" t="s">
        <v>60</v>
      </c>
      <c r="L27" s="15" t="s">
        <v>61</v>
      </c>
      <c r="M27" s="4" t="s">
        <v>59</v>
      </c>
      <c r="N27" s="4" t="s">
        <v>60</v>
      </c>
      <c r="O27" s="15" t="s">
        <v>61</v>
      </c>
      <c r="P27" s="4" t="s">
        <v>59</v>
      </c>
      <c r="Q27" s="4" t="s">
        <v>60</v>
      </c>
      <c r="R27" s="15" t="s">
        <v>61</v>
      </c>
      <c r="S27" s="4" t="s">
        <v>59</v>
      </c>
      <c r="T27" s="4" t="s">
        <v>60</v>
      </c>
      <c r="U27" s="14" t="s">
        <v>61</v>
      </c>
      <c r="V27" s="19" t="s">
        <v>200</v>
      </c>
    </row>
    <row r="28" spans="2:22" x14ac:dyDescent="0.25">
      <c r="B28" s="40" t="s">
        <v>62</v>
      </c>
      <c r="C28" s="45"/>
      <c r="D28" s="6"/>
      <c r="E28" s="5"/>
      <c r="F28" s="7"/>
      <c r="G28" s="5"/>
      <c r="H28" s="5"/>
      <c r="I28" s="7"/>
      <c r="J28" s="5"/>
      <c r="K28" s="5"/>
      <c r="L28" s="7"/>
      <c r="M28" s="5"/>
      <c r="N28" s="5"/>
      <c r="O28" s="7"/>
      <c r="P28" s="5"/>
      <c r="Q28" s="5"/>
      <c r="R28" s="7"/>
      <c r="S28" s="5"/>
      <c r="T28" s="5"/>
      <c r="U28" s="7"/>
      <c r="V28" s="20"/>
    </row>
    <row r="29" spans="2:22" x14ac:dyDescent="0.25">
      <c r="B29" s="37" t="str">
        <f>API</f>
        <v>Agricultural &amp; Pumping Interruptible (API)</v>
      </c>
      <c r="C29" s="128"/>
      <c r="D29" s="138"/>
      <c r="E29" s="205" t="str">
        <f t="shared" ref="E29:E36" si="12">IF(D29="","",(IFERROR(D29*(INDEX(ExAnteData,MATCH($B29,ExAnteProg,0),MATCH(D$26,ExAnteMo,0)))/1000,0)))</f>
        <v/>
      </c>
      <c r="F29" s="206" t="str">
        <f t="shared" ref="F29:F36" si="13">IF(D29="","",(IFERROR(D29*(INDEX(ExPostData,MATCH($B29,ExPostProg,0),MATCH(D$26,ExPostMo,0)))/1000,0)))</f>
        <v/>
      </c>
      <c r="G29" s="207"/>
      <c r="H29" s="205" t="str">
        <f t="shared" ref="H29:H36" si="14">IF(G29="","",(IFERROR(G29*(INDEX(ExAnteData,MATCH($B29,ExAnteProg,0),MATCH(G$26,ExAnteMo,0)))/1000,0)))</f>
        <v/>
      </c>
      <c r="I29" s="206" t="str">
        <f t="shared" ref="I29:I36" si="15">IF(G29="","",(IFERROR(G29*(INDEX(ExPostData,MATCH($B29,ExPostProg,0),MATCH(G$26,ExPostMo,0)))/1000,0)))</f>
        <v/>
      </c>
      <c r="J29" s="207"/>
      <c r="K29" s="205" t="str">
        <f t="shared" ref="K29:K36" si="16">IF(J29="","",(IFERROR(J29*(INDEX(ExAnteData,MATCH($B29,ExAnteProg,0),MATCH(J$26,ExAnteMo,0)))/1000,0)))</f>
        <v/>
      </c>
      <c r="L29" s="206" t="str">
        <f t="shared" ref="L29:L36" si="17">IF(J29="","",(IFERROR(J29*(INDEX(ExPostData,MATCH($B29,ExPostProg,0),MATCH(J$26,ExPostMo,0)))/1000,0)))</f>
        <v/>
      </c>
      <c r="M29" s="207"/>
      <c r="N29" s="205" t="str">
        <f t="shared" ref="N29:N36" si="18">IF(M29="","",(IFERROR(M29*(INDEX(ExAnteData,MATCH($B29,ExAnteProg,0),MATCH(M$26,ExAnteMo,0)))/1000,0)))</f>
        <v/>
      </c>
      <c r="O29" s="206" t="str">
        <f t="shared" ref="O29:O36" si="19">IF(M29="","",(IFERROR(M29*(INDEX(ExPostData,MATCH($B29,ExPostProg,0),MATCH(M$26,ExPostMo,0)))/1000,0)))</f>
        <v/>
      </c>
      <c r="P29" s="207"/>
      <c r="Q29" s="205" t="str">
        <f t="shared" ref="Q29:Q36" si="20">IF(P29="","",(IFERROR(P29*(INDEX(ExAnteData,MATCH($B29,ExAnteProg,0),MATCH(P$26,ExAnteMo,0)))/1000,0)))</f>
        <v/>
      </c>
      <c r="R29" s="206" t="str">
        <f t="shared" ref="R29:R36" si="21">IF(P29="","",(IFERROR(P29*(INDEX(ExPostData,MATCH($B29,ExPostProg,0),MATCH(P$26,ExPostMo,0)))/1000,0)))</f>
        <v/>
      </c>
      <c r="S29" s="207"/>
      <c r="T29" s="205" t="str">
        <f t="shared" ref="T29:T36" si="22">IF(S29="","",(IFERROR(S29*(INDEX(ExAnteData,MATCH($B29,ExAnteProg,0),MATCH(S$26,ExAnteMo,0)))/1000,0)))</f>
        <v/>
      </c>
      <c r="U29" s="206" t="str">
        <f t="shared" ref="U29:U36" si="23">IF(S29="","",(IFERROR(S29*(INDEX(ExPostData,MATCH($B29,ExPostProg,0),MATCH(S$26,ExPostMo,0)))/1000,0)))</f>
        <v/>
      </c>
      <c r="V29" s="160">
        <v>12892</v>
      </c>
    </row>
    <row r="30" spans="2:22" x14ac:dyDescent="0.25">
      <c r="B30" s="37" t="str">
        <f>BIP_15</f>
        <v>Base Interruptible Program (BIP) 15 Minute Option</v>
      </c>
      <c r="C30" s="128"/>
      <c r="D30" s="138"/>
      <c r="E30" s="205" t="str">
        <f t="shared" si="12"/>
        <v/>
      </c>
      <c r="F30" s="206" t="str">
        <f t="shared" si="13"/>
        <v/>
      </c>
      <c r="G30" s="207"/>
      <c r="H30" s="205" t="str">
        <f t="shared" si="14"/>
        <v/>
      </c>
      <c r="I30" s="206" t="str">
        <f t="shared" si="15"/>
        <v/>
      </c>
      <c r="J30" s="207"/>
      <c r="K30" s="205" t="str">
        <f t="shared" si="16"/>
        <v/>
      </c>
      <c r="L30" s="206" t="str">
        <f t="shared" si="17"/>
        <v/>
      </c>
      <c r="M30" s="207"/>
      <c r="N30" s="205" t="str">
        <f t="shared" si="18"/>
        <v/>
      </c>
      <c r="O30" s="206" t="str">
        <f t="shared" si="19"/>
        <v/>
      </c>
      <c r="P30" s="207"/>
      <c r="Q30" s="205" t="str">
        <f t="shared" si="20"/>
        <v/>
      </c>
      <c r="R30" s="206" t="str">
        <f t="shared" si="21"/>
        <v/>
      </c>
      <c r="S30" s="207"/>
      <c r="T30" s="205" t="str">
        <f t="shared" si="22"/>
        <v/>
      </c>
      <c r="U30" s="206" t="str">
        <f t="shared" si="23"/>
        <v/>
      </c>
      <c r="V30" s="160">
        <v>7759</v>
      </c>
    </row>
    <row r="31" spans="2:22" x14ac:dyDescent="0.25">
      <c r="B31" s="37" t="str">
        <f>BIP_30</f>
        <v>Base Interruptible Program (BIP) 30 Minute Option</v>
      </c>
      <c r="C31" s="128"/>
      <c r="D31" s="138"/>
      <c r="E31" s="205" t="str">
        <f t="shared" si="12"/>
        <v/>
      </c>
      <c r="F31" s="206" t="str">
        <f t="shared" si="13"/>
        <v/>
      </c>
      <c r="G31" s="207"/>
      <c r="H31" s="205" t="str">
        <f t="shared" si="14"/>
        <v/>
      </c>
      <c r="I31" s="206" t="str">
        <f t="shared" si="15"/>
        <v/>
      </c>
      <c r="J31" s="207"/>
      <c r="K31" s="205" t="str">
        <f t="shared" si="16"/>
        <v/>
      </c>
      <c r="L31" s="206" t="str">
        <f t="shared" si="17"/>
        <v/>
      </c>
      <c r="M31" s="207"/>
      <c r="N31" s="205" t="str">
        <f t="shared" si="18"/>
        <v/>
      </c>
      <c r="O31" s="206" t="str">
        <f t="shared" si="19"/>
        <v/>
      </c>
      <c r="P31" s="207"/>
      <c r="Q31" s="205" t="str">
        <f t="shared" si="20"/>
        <v/>
      </c>
      <c r="R31" s="206" t="str">
        <f t="shared" si="21"/>
        <v/>
      </c>
      <c r="S31" s="207"/>
      <c r="T31" s="205" t="str">
        <f t="shared" si="22"/>
        <v/>
      </c>
      <c r="U31" s="206" t="str">
        <f t="shared" si="23"/>
        <v/>
      </c>
      <c r="V31" s="160">
        <v>7759</v>
      </c>
    </row>
    <row r="32" spans="2:22" x14ac:dyDescent="0.25">
      <c r="B32" s="37" t="str">
        <f>CBP_DA</f>
        <v>Capacity Bidding Program (CBP) Day Ahead</v>
      </c>
      <c r="C32" s="128"/>
      <c r="D32" s="138"/>
      <c r="E32" s="205" t="str">
        <f t="shared" si="12"/>
        <v/>
      </c>
      <c r="F32" s="206" t="str">
        <f t="shared" si="13"/>
        <v/>
      </c>
      <c r="G32" s="207"/>
      <c r="H32" s="205" t="str">
        <f t="shared" si="14"/>
        <v/>
      </c>
      <c r="I32" s="206" t="str">
        <f t="shared" si="15"/>
        <v/>
      </c>
      <c r="J32" s="207"/>
      <c r="K32" s="205" t="str">
        <f t="shared" si="16"/>
        <v/>
      </c>
      <c r="L32" s="206" t="str">
        <f t="shared" si="17"/>
        <v/>
      </c>
      <c r="M32" s="207"/>
      <c r="N32" s="205" t="str">
        <f t="shared" si="18"/>
        <v/>
      </c>
      <c r="O32" s="206" t="str">
        <f t="shared" si="19"/>
        <v/>
      </c>
      <c r="P32" s="207"/>
      <c r="Q32" s="205" t="str">
        <f t="shared" si="20"/>
        <v/>
      </c>
      <c r="R32" s="206" t="str">
        <f t="shared" si="21"/>
        <v/>
      </c>
      <c r="S32" s="207"/>
      <c r="T32" s="205" t="str">
        <f t="shared" si="22"/>
        <v/>
      </c>
      <c r="U32" s="206" t="str">
        <f t="shared" si="23"/>
        <v/>
      </c>
      <c r="V32" s="160">
        <v>5094696</v>
      </c>
    </row>
    <row r="33" spans="2:23" x14ac:dyDescent="0.25">
      <c r="B33" s="37" t="str">
        <f>CBP_DO</f>
        <v>Capacity Bidding Program (CBP) Day Of</v>
      </c>
      <c r="C33" s="128"/>
      <c r="D33" s="138"/>
      <c r="E33" s="205" t="str">
        <f t="shared" si="12"/>
        <v/>
      </c>
      <c r="F33" s="206" t="str">
        <f t="shared" si="13"/>
        <v/>
      </c>
      <c r="G33" s="207"/>
      <c r="H33" s="205" t="str">
        <f t="shared" si="14"/>
        <v/>
      </c>
      <c r="I33" s="206" t="str">
        <f t="shared" si="15"/>
        <v/>
      </c>
      <c r="J33" s="207"/>
      <c r="K33" s="205" t="str">
        <f t="shared" si="16"/>
        <v/>
      </c>
      <c r="L33" s="206" t="str">
        <f t="shared" si="17"/>
        <v/>
      </c>
      <c r="M33" s="207"/>
      <c r="N33" s="205" t="str">
        <f t="shared" si="18"/>
        <v/>
      </c>
      <c r="O33" s="206" t="str">
        <f t="shared" si="19"/>
        <v/>
      </c>
      <c r="P33" s="207"/>
      <c r="Q33" s="205" t="str">
        <f t="shared" si="20"/>
        <v/>
      </c>
      <c r="R33" s="206" t="str">
        <f t="shared" si="21"/>
        <v/>
      </c>
      <c r="S33" s="207"/>
      <c r="T33" s="205" t="str">
        <f t="shared" si="22"/>
        <v/>
      </c>
      <c r="U33" s="206" t="str">
        <f t="shared" si="23"/>
        <v/>
      </c>
      <c r="V33" s="160">
        <v>5094696</v>
      </c>
    </row>
    <row r="34" spans="2:23" x14ac:dyDescent="0.25">
      <c r="B34" s="37" t="str">
        <f>SEP</f>
        <v>Smart Energy Program (SEP)</v>
      </c>
      <c r="C34" s="128"/>
      <c r="D34" s="138"/>
      <c r="E34" s="205" t="str">
        <f t="shared" si="12"/>
        <v/>
      </c>
      <c r="F34" s="206" t="str">
        <f t="shared" si="13"/>
        <v/>
      </c>
      <c r="G34" s="207"/>
      <c r="H34" s="205" t="str">
        <f t="shared" si="14"/>
        <v/>
      </c>
      <c r="I34" s="206" t="str">
        <f t="shared" si="15"/>
        <v/>
      </c>
      <c r="J34" s="207"/>
      <c r="K34" s="205" t="str">
        <f t="shared" si="16"/>
        <v/>
      </c>
      <c r="L34" s="206" t="str">
        <f t="shared" si="17"/>
        <v/>
      </c>
      <c r="M34" s="207"/>
      <c r="N34" s="205" t="str">
        <f t="shared" si="18"/>
        <v/>
      </c>
      <c r="O34" s="206" t="str">
        <f t="shared" si="19"/>
        <v/>
      </c>
      <c r="P34" s="207"/>
      <c r="Q34" s="205" t="str">
        <f t="shared" si="20"/>
        <v/>
      </c>
      <c r="R34" s="206" t="str">
        <f t="shared" si="21"/>
        <v/>
      </c>
      <c r="S34" s="207"/>
      <c r="T34" s="205" t="str">
        <f t="shared" si="22"/>
        <v/>
      </c>
      <c r="U34" s="206" t="str">
        <f t="shared" si="23"/>
        <v/>
      </c>
      <c r="V34" s="160">
        <v>2097875</v>
      </c>
    </row>
    <row r="35" spans="2:23" x14ac:dyDescent="0.25">
      <c r="B35" s="37" t="str">
        <f>SDPC</f>
        <v>Summer Discount Plan Program (SDP) - Commercial</v>
      </c>
      <c r="C35" s="128"/>
      <c r="D35" s="138"/>
      <c r="E35" s="205" t="str">
        <f t="shared" si="12"/>
        <v/>
      </c>
      <c r="F35" s="206" t="str">
        <f t="shared" si="13"/>
        <v/>
      </c>
      <c r="G35" s="207"/>
      <c r="H35" s="205" t="str">
        <f t="shared" si="14"/>
        <v/>
      </c>
      <c r="I35" s="206" t="str">
        <f t="shared" si="15"/>
        <v/>
      </c>
      <c r="J35" s="207"/>
      <c r="K35" s="205" t="str">
        <f t="shared" si="16"/>
        <v/>
      </c>
      <c r="L35" s="206" t="str">
        <f t="shared" si="17"/>
        <v/>
      </c>
      <c r="M35" s="207"/>
      <c r="N35" s="205" t="str">
        <f t="shared" si="18"/>
        <v/>
      </c>
      <c r="O35" s="206" t="str">
        <f t="shared" si="19"/>
        <v/>
      </c>
      <c r="P35" s="207"/>
      <c r="Q35" s="205" t="str">
        <f t="shared" si="20"/>
        <v/>
      </c>
      <c r="R35" s="206" t="str">
        <f t="shared" si="21"/>
        <v/>
      </c>
      <c r="S35" s="207"/>
      <c r="T35" s="205" t="str">
        <f t="shared" si="22"/>
        <v/>
      </c>
      <c r="U35" s="206" t="str">
        <f t="shared" si="23"/>
        <v/>
      </c>
      <c r="V35" s="160">
        <v>294947</v>
      </c>
    </row>
    <row r="36" spans="2:23" x14ac:dyDescent="0.25">
      <c r="B36" s="37" t="str">
        <f>SDPR</f>
        <v>Summer Discount Plan Program (SDP) - Residential</v>
      </c>
      <c r="C36" s="128"/>
      <c r="D36" s="139"/>
      <c r="E36" s="205" t="str">
        <f t="shared" si="12"/>
        <v/>
      </c>
      <c r="F36" s="206" t="str">
        <f t="shared" si="13"/>
        <v/>
      </c>
      <c r="G36" s="207"/>
      <c r="H36" s="205" t="str">
        <f t="shared" si="14"/>
        <v/>
      </c>
      <c r="I36" s="206" t="str">
        <f t="shared" si="15"/>
        <v/>
      </c>
      <c r="J36" s="207"/>
      <c r="K36" s="205" t="str">
        <f t="shared" si="16"/>
        <v/>
      </c>
      <c r="L36" s="206" t="str">
        <f t="shared" si="17"/>
        <v/>
      </c>
      <c r="M36" s="207"/>
      <c r="N36" s="205" t="str">
        <f t="shared" si="18"/>
        <v/>
      </c>
      <c r="O36" s="206" t="str">
        <f t="shared" si="19"/>
        <v/>
      </c>
      <c r="P36" s="207"/>
      <c r="Q36" s="205" t="str">
        <f t="shared" si="20"/>
        <v/>
      </c>
      <c r="R36" s="206" t="str">
        <f t="shared" si="21"/>
        <v/>
      </c>
      <c r="S36" s="207"/>
      <c r="T36" s="205" t="str">
        <f t="shared" si="22"/>
        <v/>
      </c>
      <c r="U36" s="206" t="str">
        <f t="shared" si="23"/>
        <v/>
      </c>
      <c r="V36" s="160">
        <v>2145914</v>
      </c>
    </row>
    <row r="37" spans="2:23" ht="15.75" thickBot="1" x14ac:dyDescent="0.3">
      <c r="B37" s="125" t="s">
        <v>63</v>
      </c>
      <c r="C37" s="129"/>
      <c r="D37" s="208">
        <f t="shared" ref="D37:U37" si="24">SUM(D29:D36)</f>
        <v>0</v>
      </c>
      <c r="E37" s="209">
        <f t="shared" si="24"/>
        <v>0</v>
      </c>
      <c r="F37" s="210">
        <f t="shared" si="24"/>
        <v>0</v>
      </c>
      <c r="G37" s="208">
        <f t="shared" si="24"/>
        <v>0</v>
      </c>
      <c r="H37" s="209">
        <f t="shared" si="24"/>
        <v>0</v>
      </c>
      <c r="I37" s="210">
        <f t="shared" si="24"/>
        <v>0</v>
      </c>
      <c r="J37" s="208">
        <f t="shared" si="24"/>
        <v>0</v>
      </c>
      <c r="K37" s="209">
        <f t="shared" si="24"/>
        <v>0</v>
      </c>
      <c r="L37" s="210">
        <f t="shared" si="24"/>
        <v>0</v>
      </c>
      <c r="M37" s="208">
        <f t="shared" si="24"/>
        <v>0</v>
      </c>
      <c r="N37" s="209">
        <f t="shared" si="24"/>
        <v>0</v>
      </c>
      <c r="O37" s="210">
        <f t="shared" si="24"/>
        <v>0</v>
      </c>
      <c r="P37" s="208">
        <f t="shared" si="24"/>
        <v>0</v>
      </c>
      <c r="Q37" s="209">
        <f t="shared" si="24"/>
        <v>0</v>
      </c>
      <c r="R37" s="210">
        <f t="shared" si="24"/>
        <v>0</v>
      </c>
      <c r="S37" s="208">
        <f t="shared" si="24"/>
        <v>0</v>
      </c>
      <c r="T37" s="209">
        <f t="shared" si="24"/>
        <v>0</v>
      </c>
      <c r="U37" s="210">
        <f t="shared" si="24"/>
        <v>0</v>
      </c>
      <c r="V37" s="18"/>
    </row>
    <row r="38" spans="2:23" ht="15.75" thickTop="1" x14ac:dyDescent="0.25">
      <c r="B38" s="47" t="s">
        <v>64</v>
      </c>
      <c r="C38" s="46"/>
      <c r="D38" s="138"/>
      <c r="E38" s="132"/>
      <c r="F38" s="133"/>
      <c r="G38" s="207"/>
      <c r="H38" s="132"/>
      <c r="I38" s="133"/>
      <c r="J38" s="207"/>
      <c r="K38" s="132"/>
      <c r="L38" s="133"/>
      <c r="M38" s="207"/>
      <c r="N38" s="132"/>
      <c r="O38" s="133"/>
      <c r="P38" s="207"/>
      <c r="Q38" s="132"/>
      <c r="R38" s="133"/>
      <c r="S38" s="207"/>
      <c r="T38" s="132"/>
      <c r="U38" s="133"/>
      <c r="V38" s="18"/>
    </row>
    <row r="39" spans="2:23" x14ac:dyDescent="0.25">
      <c r="B39" s="37" t="str">
        <f>CPP</f>
        <v>Critical Peak Pricing (CPP)</v>
      </c>
      <c r="C39" s="128"/>
      <c r="D39" s="138"/>
      <c r="E39" s="132"/>
      <c r="F39" s="133"/>
      <c r="G39" s="207"/>
      <c r="H39" s="132"/>
      <c r="I39" s="133"/>
      <c r="J39" s="207"/>
      <c r="K39" s="132"/>
      <c r="L39" s="133"/>
      <c r="M39" s="207"/>
      <c r="N39" s="132"/>
      <c r="O39" s="133"/>
      <c r="P39" s="207"/>
      <c r="Q39" s="132"/>
      <c r="R39" s="133"/>
      <c r="S39" s="207"/>
      <c r="T39" s="132"/>
      <c r="U39" s="133"/>
      <c r="V39" s="160">
        <v>3480329</v>
      </c>
    </row>
    <row r="40" spans="2:23" x14ac:dyDescent="0.25">
      <c r="B40" s="37" t="str">
        <f>OBMC</f>
        <v>Optional Binding Mandatory Curtailment (OBMC)</v>
      </c>
      <c r="C40" s="128"/>
      <c r="D40" s="138"/>
      <c r="E40" s="205" t="str">
        <f>IF(D40="","",(IFERROR(D40*(INDEX(ExAnteData,MATCH($B40,ExAnteProg,0),MATCH(D$26,ExAnteMo,0)))/1000,0)))</f>
        <v/>
      </c>
      <c r="F40" s="206" t="str">
        <f>IF(D40="","",(IFERROR(D40*(INDEX(ExPostData,MATCH($B40,ExPostProg,0),MATCH(D$26,ExPostMo,0)))/1000,0)))</f>
        <v/>
      </c>
      <c r="G40" s="207"/>
      <c r="H40" s="205" t="str">
        <f>IF(G40="","",(IFERROR(G40*(INDEX(ExAnteData,MATCH($B40,ExAnteProg,0),MATCH(G$26,ExAnteMo,0)))/1000,0)))</f>
        <v/>
      </c>
      <c r="I40" s="206" t="str">
        <f>IF(G40="","",(IFERROR(G40*(INDEX(ExPostData,MATCH($B40,ExPostProg,0),MATCH(G$26,ExPostMo,0)))/1000,0)))</f>
        <v/>
      </c>
      <c r="J40" s="207"/>
      <c r="K40" s="205" t="str">
        <f>IF(J40="","",(IFERROR(J40*(INDEX(ExAnteData,MATCH($B40,ExAnteProg,0),MATCH(J$26,ExAnteMo,0)))/1000,0)))</f>
        <v/>
      </c>
      <c r="L40" s="206" t="str">
        <f>IF(J40="","",(IFERROR(J40*(INDEX(ExPostData,MATCH($B40,ExPostProg,0),MATCH(J$26,ExPostMo,0)))/1000,0)))</f>
        <v/>
      </c>
      <c r="M40" s="207"/>
      <c r="N40" s="205" t="str">
        <f>IF(M40="","",(IFERROR(M40*(INDEX(ExAnteData,MATCH($B40,ExAnteProg,0),MATCH(M$26,ExAnteMo,0)))/1000,0)))</f>
        <v/>
      </c>
      <c r="O40" s="206" t="str">
        <f>IF(M40="","",(IFERROR(M40*(INDEX(ExPostData,MATCH($B40,ExPostProg,0),MATCH(M$26,ExPostMo,0)))/1000,0)))</f>
        <v/>
      </c>
      <c r="P40" s="207"/>
      <c r="Q40" s="205" t="str">
        <f>IF(P40="","",(IFERROR(P40*(INDEX(ExAnteData,MATCH($B40,ExAnteProg,0),MATCH(P$26,ExAnteMo,0)))/1000,0)))</f>
        <v/>
      </c>
      <c r="R40" s="206" t="str">
        <f>IF(P40="","",(IFERROR(P40*(INDEX(ExPostData,MATCH($B40,ExPostProg,0),MATCH(P$26,ExPostMo,0)))/1000,0)))</f>
        <v/>
      </c>
      <c r="S40" s="207"/>
      <c r="T40" s="205" t="str">
        <f>IF(S40="","",(IFERROR(S40*(INDEX(ExAnteData,MATCH($B40,ExAnteProg,0),MATCH(S$26,ExAnteMo,0)))/1000,0)))</f>
        <v/>
      </c>
      <c r="U40" s="206" t="str">
        <f>IF(S40="","",(IFERROR(S40*(INDEX(ExPostData,MATCH($B40,ExPostProg,0),MATCH(S$26,ExPostMo,0)))/1000,0)))</f>
        <v/>
      </c>
      <c r="V40" s="159" t="s">
        <v>76</v>
      </c>
    </row>
    <row r="41" spans="2:23" x14ac:dyDescent="0.25">
      <c r="B41" s="37" t="str">
        <f>RTP</f>
        <v>Real Time Pricing (RTP)</v>
      </c>
      <c r="C41" s="128"/>
      <c r="D41" s="138"/>
      <c r="E41" s="205" t="str">
        <f>IF(D41="","",(IFERROR(D41*(INDEX(ExAnteData,MATCH($B41,ExAnteProg,0),MATCH(D$26,ExAnteMo,0)))/1000,0)))</f>
        <v/>
      </c>
      <c r="F41" s="206" t="str">
        <f>IF(D41="","",(IFERROR(D41*(INDEX(ExPostData,MATCH($B41,ExPostProg,0),MATCH(D$26,ExPostMo,0)))/1000,0)))</f>
        <v/>
      </c>
      <c r="G41" s="207"/>
      <c r="H41" s="205" t="str">
        <f>IF(G41="","",(IFERROR(G41*(INDEX(ExAnteData,MATCH($B41,ExAnteProg,0),MATCH(G$26,ExAnteMo,0)))/1000,0)))</f>
        <v/>
      </c>
      <c r="I41" s="206" t="str">
        <f>IF(G41="","",(IFERROR(G41*(INDEX(ExPostData,MATCH($B41,ExPostProg,0),MATCH(G$26,ExPostMo,0)))/1000,0)))</f>
        <v/>
      </c>
      <c r="J41" s="207"/>
      <c r="K41" s="205" t="str">
        <f>IF(J41="","",(IFERROR(J41*(INDEX(ExAnteData,MATCH($B41,ExAnteProg,0),MATCH(J$26,ExAnteMo,0)))/1000,0)))</f>
        <v/>
      </c>
      <c r="L41" s="206" t="str">
        <f>IF(J41="","",(IFERROR(J41*(INDEX(ExPostData,MATCH($B41,ExPostProg,0),MATCH(J$26,ExPostMo,0)))/1000,0)))</f>
        <v/>
      </c>
      <c r="M41" s="207"/>
      <c r="N41" s="205" t="str">
        <f>IF(M41="","",(IFERROR(M41*(INDEX(ExAnteData,MATCH($B41,ExAnteProg,0),MATCH(M$26,ExAnteMo,0)))/1000,0)))</f>
        <v/>
      </c>
      <c r="O41" s="206" t="str">
        <f>IF(M41="","",(IFERROR(M41*(INDEX(ExPostData,MATCH($B41,ExPostProg,0),MATCH(M$26,ExPostMo,0)))/1000,0)))</f>
        <v/>
      </c>
      <c r="P41" s="207"/>
      <c r="Q41" s="205" t="str">
        <f>IF(P41="","",(IFERROR(P41*(INDEX(ExAnteData,MATCH($B41,ExAnteProg,0),MATCH(P$26,ExAnteMo,0)))/1000,0)))</f>
        <v/>
      </c>
      <c r="R41" s="206" t="str">
        <f>IF(P41="","",(IFERROR(P41*(INDEX(ExPostData,MATCH($B41,ExPostProg,0),MATCH(P$26,ExPostMo,0)))/1000,0)))</f>
        <v/>
      </c>
      <c r="S41" s="207"/>
      <c r="T41" s="205" t="str">
        <f>IF(S41="","",(IFERROR(S41*(INDEX(ExAnteData,MATCH($B41,ExAnteProg,0),MATCH(S$26,ExAnteMo,0)))/1000,0)))</f>
        <v/>
      </c>
      <c r="U41" s="206" t="str">
        <f>IF(S41="","",(IFERROR(S41*(INDEX(ExPostData,MATCH($B41,ExPostProg,0),MATCH(S$26,ExPostMo,0)))/1000,0)))</f>
        <v/>
      </c>
      <c r="V41" s="160">
        <v>427800</v>
      </c>
    </row>
    <row r="42" spans="2:23" x14ac:dyDescent="0.25">
      <c r="B42" s="37" t="str">
        <f>SLRP</f>
        <v>Scheduled Load Reduction Program (SLRP)</v>
      </c>
      <c r="C42" s="128"/>
      <c r="D42" s="139"/>
      <c r="E42" s="205" t="str">
        <f>IF(D42="","",(IFERROR(D42*(INDEX(ExAnteData,MATCH($B42,ExAnteProg,0),MATCH(D$26,ExAnteMo,0)))/1000,0)))</f>
        <v/>
      </c>
      <c r="F42" s="206" t="str">
        <f>IF(D42="","",(IFERROR(D42*(INDEX(ExPostData,MATCH($B42,ExPostProg,0),MATCH(D$26,ExPostMo,0)))/1000,0)))</f>
        <v/>
      </c>
      <c r="G42" s="207"/>
      <c r="H42" s="205" t="str">
        <f>IF(G42="","",(IFERROR(G42*(INDEX(ExAnteData,MATCH($B42,ExAnteProg,0),MATCH(G$26,ExAnteMo,0)))/1000,0)))</f>
        <v/>
      </c>
      <c r="I42" s="206" t="str">
        <f>IF(G42="","",(IFERROR(G42*(INDEX(ExPostData,MATCH($B42,ExPostProg,0),MATCH(G$26,ExPostMo,0)))/1000,0)))</f>
        <v/>
      </c>
      <c r="J42" s="207"/>
      <c r="K42" s="205" t="str">
        <f>IF(J42="","",(IFERROR(J42*(INDEX(ExAnteData,MATCH($B42,ExAnteProg,0),MATCH(J$26,ExAnteMo,0)))/1000,0)))</f>
        <v/>
      </c>
      <c r="L42" s="206" t="str">
        <f>IF(J42="","",(IFERROR(J42*(INDEX(ExPostData,MATCH($B42,ExPostProg,0),MATCH(J$26,ExPostMo,0)))/1000,0)))</f>
        <v/>
      </c>
      <c r="M42" s="207"/>
      <c r="N42" s="205" t="str">
        <f>IF(M42="","",(IFERROR(M42*(INDEX(ExAnteData,MATCH($B42,ExAnteProg,0),MATCH(M$26,ExAnteMo,0)))/1000,0)))</f>
        <v/>
      </c>
      <c r="O42" s="206" t="str">
        <f>IF(M42="","",(IFERROR(M42*(INDEX(ExPostData,MATCH($B42,ExPostProg,0),MATCH(M$26,ExPostMo,0)))/1000,0)))</f>
        <v/>
      </c>
      <c r="P42" s="207"/>
      <c r="Q42" s="205" t="str">
        <f>IF(P42="","",(IFERROR(P42*(INDEX(ExAnteData,MATCH($B42,ExAnteProg,0),MATCH(P$26,ExAnteMo,0)))/1000,0)))</f>
        <v/>
      </c>
      <c r="R42" s="206" t="str">
        <f>IF(P42="","",(IFERROR(P42*(INDEX(ExPostData,MATCH($B42,ExPostProg,0),MATCH(P$26,ExPostMo,0)))/1000,0)))</f>
        <v/>
      </c>
      <c r="S42" s="207"/>
      <c r="T42" s="205" t="str">
        <f>IF(S42="","",(IFERROR(S42*(INDEX(ExAnteData,MATCH($B42,ExAnteProg,0),MATCH(S$26,ExAnteMo,0)))/1000,0)))</f>
        <v/>
      </c>
      <c r="U42" s="206" t="str">
        <f>IF(S42="","",(IFERROR(S42*(INDEX(ExPostData,MATCH($B42,ExPostProg,0),MATCH(S$26,ExPostMo,0)))/1000,0)))</f>
        <v/>
      </c>
      <c r="V42" s="161">
        <v>15800</v>
      </c>
    </row>
    <row r="43" spans="2:23" ht="15.75" thickBot="1" x14ac:dyDescent="0.3">
      <c r="B43" s="126" t="s">
        <v>63</v>
      </c>
      <c r="C43" s="130"/>
      <c r="D43" s="208">
        <f t="shared" ref="D43:U43" si="25">SUM(D39:D42)</f>
        <v>0</v>
      </c>
      <c r="E43" s="209">
        <f t="shared" si="25"/>
        <v>0</v>
      </c>
      <c r="F43" s="210">
        <f t="shared" si="25"/>
        <v>0</v>
      </c>
      <c r="G43" s="208">
        <f t="shared" si="25"/>
        <v>0</v>
      </c>
      <c r="H43" s="209">
        <f t="shared" si="25"/>
        <v>0</v>
      </c>
      <c r="I43" s="210">
        <f t="shared" si="25"/>
        <v>0</v>
      </c>
      <c r="J43" s="208">
        <f t="shared" si="25"/>
        <v>0</v>
      </c>
      <c r="K43" s="209">
        <f t="shared" si="25"/>
        <v>0</v>
      </c>
      <c r="L43" s="210">
        <f t="shared" si="25"/>
        <v>0</v>
      </c>
      <c r="M43" s="208">
        <f t="shared" si="25"/>
        <v>0</v>
      </c>
      <c r="N43" s="209">
        <f t="shared" si="25"/>
        <v>0</v>
      </c>
      <c r="O43" s="210">
        <f t="shared" si="25"/>
        <v>0</v>
      </c>
      <c r="P43" s="208">
        <f t="shared" si="25"/>
        <v>0</v>
      </c>
      <c r="Q43" s="209">
        <f t="shared" si="25"/>
        <v>0</v>
      </c>
      <c r="R43" s="210">
        <f t="shared" si="25"/>
        <v>0</v>
      </c>
      <c r="S43" s="208">
        <f t="shared" si="25"/>
        <v>0</v>
      </c>
      <c r="T43" s="209">
        <f t="shared" si="25"/>
        <v>0</v>
      </c>
      <c r="U43" s="210">
        <f t="shared" si="25"/>
        <v>0</v>
      </c>
    </row>
    <row r="44" spans="2:23" ht="16.5" thickTop="1" thickBot="1" x14ac:dyDescent="0.3">
      <c r="B44" s="127" t="s">
        <v>65</v>
      </c>
      <c r="C44" s="131"/>
      <c r="D44" s="140">
        <f t="shared" ref="D44:U44" si="26">SUM(D37,D43)</f>
        <v>0</v>
      </c>
      <c r="E44" s="136">
        <f t="shared" si="26"/>
        <v>0</v>
      </c>
      <c r="F44" s="137">
        <f t="shared" si="26"/>
        <v>0</v>
      </c>
      <c r="G44" s="140">
        <f t="shared" si="26"/>
        <v>0</v>
      </c>
      <c r="H44" s="136">
        <f t="shared" si="26"/>
        <v>0</v>
      </c>
      <c r="I44" s="137">
        <f t="shared" si="26"/>
        <v>0</v>
      </c>
      <c r="J44" s="140">
        <f t="shared" si="26"/>
        <v>0</v>
      </c>
      <c r="K44" s="136">
        <f t="shared" si="26"/>
        <v>0</v>
      </c>
      <c r="L44" s="137">
        <f t="shared" si="26"/>
        <v>0</v>
      </c>
      <c r="M44" s="140">
        <f t="shared" si="26"/>
        <v>0</v>
      </c>
      <c r="N44" s="136">
        <f t="shared" si="26"/>
        <v>0</v>
      </c>
      <c r="O44" s="137">
        <f t="shared" si="26"/>
        <v>0</v>
      </c>
      <c r="P44" s="140">
        <f t="shared" si="26"/>
        <v>0</v>
      </c>
      <c r="Q44" s="136">
        <f t="shared" si="26"/>
        <v>0</v>
      </c>
      <c r="R44" s="137">
        <f t="shared" si="26"/>
        <v>0</v>
      </c>
      <c r="S44" s="140">
        <f t="shared" si="26"/>
        <v>0</v>
      </c>
      <c r="T44" s="136">
        <f t="shared" si="26"/>
        <v>0</v>
      </c>
      <c r="U44" s="137">
        <f t="shared" si="26"/>
        <v>0</v>
      </c>
    </row>
    <row r="45" spans="2:23" ht="15.75" thickTop="1" x14ac:dyDescent="0.25"/>
    <row r="46" spans="2:23" x14ac:dyDescent="0.25">
      <c r="B46" s="21" t="s">
        <v>72</v>
      </c>
      <c r="C46" s="21"/>
    </row>
    <row r="47" spans="2:23" ht="59.25" customHeight="1" x14ac:dyDescent="0.25">
      <c r="B47" s="228" t="s">
        <v>266</v>
      </c>
      <c r="C47" s="228"/>
      <c r="D47" s="228"/>
      <c r="E47" s="228"/>
      <c r="F47" s="228"/>
      <c r="G47" s="228"/>
      <c r="H47" s="228"/>
      <c r="I47" s="228"/>
      <c r="J47" s="228"/>
      <c r="K47" s="228"/>
      <c r="L47" s="228"/>
      <c r="M47" s="228"/>
      <c r="N47" s="228"/>
      <c r="O47" s="228"/>
      <c r="P47" s="228"/>
      <c r="Q47" s="228"/>
      <c r="R47" s="228"/>
      <c r="S47" s="228"/>
      <c r="T47" s="228"/>
      <c r="U47" s="228"/>
      <c r="V47" s="228"/>
      <c r="W47" s="228"/>
    </row>
    <row r="48" spans="2:23" ht="48" customHeight="1" x14ac:dyDescent="0.25">
      <c r="B48" s="228" t="s">
        <v>264</v>
      </c>
      <c r="C48" s="228"/>
      <c r="D48" s="228"/>
      <c r="E48" s="228"/>
      <c r="F48" s="228"/>
      <c r="G48" s="228"/>
      <c r="H48" s="228"/>
      <c r="I48" s="228"/>
      <c r="J48" s="228"/>
      <c r="K48" s="228"/>
      <c r="L48" s="228"/>
      <c r="M48" s="228"/>
      <c r="N48" s="228"/>
      <c r="O48" s="228"/>
      <c r="P48" s="228"/>
      <c r="Q48" s="228"/>
      <c r="R48" s="228"/>
      <c r="S48" s="228"/>
      <c r="T48" s="228"/>
      <c r="U48" s="228"/>
      <c r="V48" s="228"/>
      <c r="W48" s="228"/>
    </row>
    <row r="49" spans="2:23" ht="36.75" customHeight="1" x14ac:dyDescent="0.25">
      <c r="B49" s="228" t="s">
        <v>265</v>
      </c>
      <c r="C49" s="228"/>
      <c r="D49" s="228"/>
      <c r="E49" s="228"/>
      <c r="F49" s="228"/>
      <c r="G49" s="228"/>
      <c r="H49" s="228"/>
      <c r="I49" s="228"/>
      <c r="J49" s="228"/>
      <c r="K49" s="228"/>
      <c r="L49" s="228"/>
      <c r="M49" s="228"/>
      <c r="N49" s="228"/>
      <c r="O49" s="228"/>
      <c r="P49" s="228"/>
      <c r="Q49" s="228"/>
      <c r="R49" s="228"/>
      <c r="S49" s="228"/>
      <c r="T49" s="228"/>
      <c r="U49" s="228"/>
      <c r="V49" s="228"/>
      <c r="W49" s="228"/>
    </row>
    <row r="50" spans="2:23" x14ac:dyDescent="0.25">
      <c r="B50" s="228" t="s">
        <v>214</v>
      </c>
      <c r="C50" s="228"/>
      <c r="D50" s="228"/>
      <c r="E50" s="228"/>
      <c r="F50" s="228"/>
      <c r="G50" s="228"/>
      <c r="H50" s="228"/>
      <c r="I50" s="228"/>
      <c r="J50" s="228"/>
      <c r="K50" s="228"/>
      <c r="L50" s="228"/>
      <c r="M50" s="228"/>
      <c r="N50" s="228"/>
      <c r="O50" s="228"/>
      <c r="P50" s="228"/>
      <c r="Q50" s="228"/>
      <c r="R50" s="228"/>
      <c r="S50" s="228"/>
      <c r="T50" s="228"/>
      <c r="U50" s="228"/>
      <c r="V50" s="228"/>
      <c r="W50" s="228"/>
    </row>
  </sheetData>
  <mergeCells count="17">
    <mergeCell ref="S5:U5"/>
    <mergeCell ref="B47:W47"/>
    <mergeCell ref="B48:W48"/>
    <mergeCell ref="B49:W49"/>
    <mergeCell ref="B50:W50"/>
    <mergeCell ref="B1:V1"/>
    <mergeCell ref="D26:F26"/>
    <mergeCell ref="G26:I26"/>
    <mergeCell ref="J26:L26"/>
    <mergeCell ref="M26:O26"/>
    <mergeCell ref="P26:R26"/>
    <mergeCell ref="S26:U26"/>
    <mergeCell ref="D5:F5"/>
    <mergeCell ref="G5:I5"/>
    <mergeCell ref="J5:L5"/>
    <mergeCell ref="M5:O5"/>
    <mergeCell ref="P5:R5"/>
  </mergeCells>
  <pageMargins left="0.7" right="0.7" top="0.75" bottom="0.75" header="0.3" footer="0.3"/>
  <pageSetup paperSize="5" scale="47" orientation="landscape" r:id="rId1"/>
  <headerFooter>
    <oddFooter>&amp;L&amp;F&amp;C&amp;K000000Public&amp;RA-&amp;P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5FC65-EECD-482D-AC5A-778ED849FDD3}">
  <sheetPr>
    <pageSetUpPr fitToPage="1"/>
  </sheetPr>
  <dimension ref="A1:R57"/>
  <sheetViews>
    <sheetView showGridLines="0" view="pageBreakPreview" topLeftCell="B1" zoomScale="60" zoomScaleNormal="90" workbookViewId="0">
      <selection activeCell="D22" sqref="D22:U23"/>
    </sheetView>
  </sheetViews>
  <sheetFormatPr defaultRowHeight="15" x14ac:dyDescent="0.25"/>
  <cols>
    <col min="1" max="1" width="1.42578125" customWidth="1"/>
    <col min="2" max="2" width="58" customWidth="1"/>
    <col min="3" max="3" width="4.42578125" customWidth="1"/>
    <col min="4" max="15" width="12.5703125" customWidth="1"/>
    <col min="16" max="16" width="20" customWidth="1"/>
    <col min="17" max="17" width="75.85546875" customWidth="1"/>
  </cols>
  <sheetData>
    <row r="1" spans="1:18" ht="52.5" customHeight="1" x14ac:dyDescent="0.25">
      <c r="A1" s="1"/>
      <c r="B1" s="229" t="s">
        <v>73</v>
      </c>
      <c r="C1" s="230"/>
      <c r="D1" s="230"/>
      <c r="E1" s="230"/>
      <c r="F1" s="230"/>
      <c r="G1" s="230"/>
      <c r="H1" s="230"/>
      <c r="I1" s="230"/>
      <c r="J1" s="230"/>
      <c r="K1" s="230"/>
      <c r="L1" s="230"/>
      <c r="M1" s="230"/>
      <c r="N1" s="230"/>
      <c r="O1" s="230"/>
      <c r="P1" s="230"/>
      <c r="Q1" s="230"/>
      <c r="R1" s="230"/>
    </row>
    <row r="2" spans="1:18" ht="12.75" customHeight="1" x14ac:dyDescent="0.25">
      <c r="A2" s="1"/>
      <c r="B2" s="2" t="s">
        <v>51</v>
      </c>
      <c r="C2" s="2"/>
      <c r="D2" s="2"/>
      <c r="E2" s="2"/>
      <c r="F2" s="2"/>
      <c r="G2" s="2"/>
      <c r="H2" s="2"/>
      <c r="I2" s="2"/>
      <c r="J2" s="2"/>
      <c r="K2" s="2"/>
      <c r="L2" s="2"/>
      <c r="M2" s="2"/>
      <c r="N2" s="2"/>
      <c r="O2" s="2"/>
      <c r="P2" s="2"/>
      <c r="Q2" s="2"/>
      <c r="R2" s="2"/>
    </row>
    <row r="3" spans="1:18" ht="12.75" customHeight="1" x14ac:dyDescent="0.25">
      <c r="A3" s="1"/>
      <c r="B3" s="2" t="s">
        <v>74</v>
      </c>
      <c r="C3" s="1"/>
      <c r="D3" s="1"/>
      <c r="E3" s="1"/>
      <c r="F3" s="1"/>
      <c r="G3" s="1"/>
      <c r="H3" s="1"/>
      <c r="I3" s="1"/>
      <c r="J3" s="1"/>
      <c r="K3" s="1"/>
      <c r="L3" s="1"/>
      <c r="M3" s="1"/>
      <c r="N3" s="1"/>
      <c r="O3" s="1"/>
      <c r="P3" s="1"/>
      <c r="Q3" s="1"/>
      <c r="R3" s="1"/>
    </row>
    <row r="4" spans="1:18" ht="12.75" customHeight="1" x14ac:dyDescent="0.25">
      <c r="A4" s="1"/>
      <c r="B4" s="1"/>
      <c r="C4" s="1"/>
      <c r="D4" s="1"/>
      <c r="E4" s="1"/>
      <c r="F4" s="1"/>
      <c r="G4" s="1"/>
      <c r="H4" s="1"/>
      <c r="I4" s="1"/>
      <c r="J4" s="1"/>
      <c r="K4" s="1"/>
      <c r="L4" s="1"/>
      <c r="M4" s="1"/>
      <c r="N4" s="1"/>
      <c r="O4" s="1"/>
      <c r="P4" s="1"/>
      <c r="Q4" s="1"/>
      <c r="R4" s="1"/>
    </row>
    <row r="5" spans="1:18" ht="12.75" customHeight="1" x14ac:dyDescent="0.25">
      <c r="A5" s="1"/>
      <c r="B5" s="1"/>
      <c r="C5" s="1"/>
      <c r="D5" s="231" t="s">
        <v>75</v>
      </c>
      <c r="E5" s="232"/>
      <c r="F5" s="232"/>
      <c r="G5" s="232"/>
      <c r="H5" s="232"/>
      <c r="I5" s="232"/>
      <c r="J5" s="232"/>
      <c r="K5" s="232"/>
      <c r="L5" s="232"/>
      <c r="M5" s="232"/>
      <c r="N5" s="232"/>
      <c r="O5" s="233"/>
      <c r="P5" s="235" t="s">
        <v>200</v>
      </c>
      <c r="Q5" s="1"/>
      <c r="R5" s="1"/>
    </row>
    <row r="6" spans="1:18" ht="53.25" customHeight="1" x14ac:dyDescent="0.25">
      <c r="A6" s="1"/>
      <c r="B6" s="1"/>
      <c r="C6" s="1"/>
      <c r="D6" s="51" t="s">
        <v>53</v>
      </c>
      <c r="E6" s="56" t="s">
        <v>54</v>
      </c>
      <c r="F6" s="56" t="s">
        <v>55</v>
      </c>
      <c r="G6" s="56" t="s">
        <v>56</v>
      </c>
      <c r="H6" s="56" t="s">
        <v>57</v>
      </c>
      <c r="I6" s="56" t="s">
        <v>58</v>
      </c>
      <c r="J6" s="56" t="s">
        <v>66</v>
      </c>
      <c r="K6" s="56" t="s">
        <v>67</v>
      </c>
      <c r="L6" s="56" t="s">
        <v>68</v>
      </c>
      <c r="M6" s="56" t="s">
        <v>69</v>
      </c>
      <c r="N6" s="56" t="s">
        <v>70</v>
      </c>
      <c r="O6" s="52" t="s">
        <v>71</v>
      </c>
      <c r="P6" s="235"/>
      <c r="Q6" s="1"/>
      <c r="R6" s="1"/>
    </row>
    <row r="7" spans="1:18" x14ac:dyDescent="0.25">
      <c r="A7" s="1"/>
      <c r="B7" s="40" t="s">
        <v>62</v>
      </c>
      <c r="C7" s="43"/>
      <c r="D7" s="42"/>
      <c r="E7" s="43"/>
      <c r="F7" s="43"/>
      <c r="G7" s="43"/>
      <c r="H7" s="43"/>
      <c r="I7" s="43"/>
      <c r="J7" s="43"/>
      <c r="K7" s="43"/>
      <c r="L7" s="43"/>
      <c r="M7" s="43"/>
      <c r="N7" s="43"/>
      <c r="O7" s="41"/>
      <c r="P7" s="235"/>
      <c r="Q7" s="1"/>
      <c r="R7" s="1"/>
    </row>
    <row r="8" spans="1:18" ht="26.25" x14ac:dyDescent="0.25">
      <c r="A8" s="1"/>
      <c r="B8" s="65" t="str">
        <f>API</f>
        <v>Agricultural &amp; Pumping Interruptible (API)</v>
      </c>
      <c r="C8" s="30"/>
      <c r="D8" s="212">
        <v>29.840860199226608</v>
      </c>
      <c r="E8" s="213">
        <v>29.840860199226608</v>
      </c>
      <c r="F8" s="213">
        <v>29.840860199226608</v>
      </c>
      <c r="G8" s="213">
        <v>22.343305999999998</v>
      </c>
      <c r="H8" s="213">
        <v>22.34330627200741</v>
      </c>
      <c r="I8" s="213">
        <v>22.34330627200741</v>
      </c>
      <c r="J8" s="213">
        <v>22.34330627200741</v>
      </c>
      <c r="K8" s="213">
        <v>22.34330627200741</v>
      </c>
      <c r="L8" s="213">
        <v>22.34330627200741</v>
      </c>
      <c r="M8" s="213">
        <v>22.34330627200741</v>
      </c>
      <c r="N8" s="213">
        <v>22.34330627200741</v>
      </c>
      <c r="O8" s="213">
        <v>22.34330627200741</v>
      </c>
      <c r="P8" s="156">
        <v>12892</v>
      </c>
      <c r="Q8" s="154" t="s">
        <v>201</v>
      </c>
      <c r="R8" s="1"/>
    </row>
    <row r="9" spans="1:18" ht="26.25" x14ac:dyDescent="0.25">
      <c r="A9" s="1"/>
      <c r="B9" s="67" t="str">
        <f>BIP_15</f>
        <v>Base Interruptible Program (BIP) 15 Minute Option</v>
      </c>
      <c r="C9" s="66"/>
      <c r="D9" s="214">
        <v>3135.4116666749997</v>
      </c>
      <c r="E9" s="215">
        <v>3135.4116666749997</v>
      </c>
      <c r="F9" s="215">
        <v>3135.4116666749997</v>
      </c>
      <c r="G9" s="215">
        <v>4099.1009999999997</v>
      </c>
      <c r="H9" s="215">
        <v>4099.1009999999997</v>
      </c>
      <c r="I9" s="215">
        <v>4099.1009999999997</v>
      </c>
      <c r="J9" s="215">
        <v>4099.1009999999997</v>
      </c>
      <c r="K9" s="215">
        <v>4099.1009999999997</v>
      </c>
      <c r="L9" s="215">
        <v>4099.1009999999997</v>
      </c>
      <c r="M9" s="215">
        <v>4099.1009999999997</v>
      </c>
      <c r="N9" s="215">
        <v>4099.1009999999997</v>
      </c>
      <c r="O9" s="215">
        <v>4099.1009999999997</v>
      </c>
      <c r="P9" s="157">
        <v>7759</v>
      </c>
      <c r="Q9" s="155" t="s">
        <v>202</v>
      </c>
      <c r="R9" s="1"/>
    </row>
    <row r="10" spans="1:18" ht="26.25" x14ac:dyDescent="0.25">
      <c r="A10" s="1"/>
      <c r="B10" s="65" t="str">
        <f>BIP_30</f>
        <v>Base Interruptible Program (BIP) 30 Minute Option</v>
      </c>
      <c r="C10" s="30"/>
      <c r="D10" s="212">
        <v>632.43180463576164</v>
      </c>
      <c r="E10" s="213">
        <v>632.43180463576164</v>
      </c>
      <c r="F10" s="213">
        <v>632.43180463576164</v>
      </c>
      <c r="G10" s="213">
        <v>961.33827499999995</v>
      </c>
      <c r="H10" s="213">
        <v>961.33827499999995</v>
      </c>
      <c r="I10" s="213">
        <v>961.33827499999995</v>
      </c>
      <c r="J10" s="213">
        <v>961.33827499999995</v>
      </c>
      <c r="K10" s="213">
        <v>961.33827499999995</v>
      </c>
      <c r="L10" s="213">
        <v>961.33827499999995</v>
      </c>
      <c r="M10" s="213">
        <v>961.33827499999995</v>
      </c>
      <c r="N10" s="213">
        <v>961.33827499999995</v>
      </c>
      <c r="O10" s="213">
        <v>961.33827499999995</v>
      </c>
      <c r="P10" s="156">
        <v>7759</v>
      </c>
      <c r="Q10" s="154" t="s">
        <v>203</v>
      </c>
      <c r="R10" s="1"/>
    </row>
    <row r="11" spans="1:18" ht="39" x14ac:dyDescent="0.25">
      <c r="A11" s="1"/>
      <c r="B11" s="67" t="str">
        <f>CBP_DA</f>
        <v>Capacity Bidding Program (CBP) Day Ahead</v>
      </c>
      <c r="C11" s="66"/>
      <c r="D11" s="214">
        <v>37.370007400000006</v>
      </c>
      <c r="E11" s="215">
        <v>37.370007400000006</v>
      </c>
      <c r="F11" s="215">
        <v>37.370007400000006</v>
      </c>
      <c r="G11" s="215">
        <v>0</v>
      </c>
      <c r="H11" s="215">
        <v>5.6415074000000001</v>
      </c>
      <c r="I11" s="215">
        <v>5.6415074000000001</v>
      </c>
      <c r="J11" s="215">
        <v>5.6415074000000001</v>
      </c>
      <c r="K11" s="215">
        <v>5.6415074000000001</v>
      </c>
      <c r="L11" s="215">
        <v>5.6415074000000001</v>
      </c>
      <c r="M11" s="215">
        <v>5.6415074000000001</v>
      </c>
      <c r="N11" s="215">
        <v>0</v>
      </c>
      <c r="O11" s="215">
        <v>0</v>
      </c>
      <c r="P11" s="157">
        <v>5094696</v>
      </c>
      <c r="Q11" s="155" t="s">
        <v>204</v>
      </c>
      <c r="R11" s="1"/>
    </row>
    <row r="12" spans="1:18" ht="39" x14ac:dyDescent="0.25">
      <c r="A12" s="1"/>
      <c r="B12" s="65" t="str">
        <f>CBP_DO</f>
        <v>Capacity Bidding Program (CBP) Day Of</v>
      </c>
      <c r="C12" s="30"/>
      <c r="D12" s="212">
        <v>6.415321399999999</v>
      </c>
      <c r="E12" s="213">
        <v>6.415321399999999</v>
      </c>
      <c r="F12" s="213">
        <v>6.415321399999999</v>
      </c>
      <c r="G12" s="213">
        <v>4.9666969999999999</v>
      </c>
      <c r="H12" s="213">
        <v>13.065645999999997</v>
      </c>
      <c r="I12" s="213">
        <v>13.065645999999997</v>
      </c>
      <c r="J12" s="213">
        <v>13.065645999999997</v>
      </c>
      <c r="K12" s="213">
        <v>13.065645999999997</v>
      </c>
      <c r="L12" s="213">
        <v>13.065645999999997</v>
      </c>
      <c r="M12" s="213">
        <v>13.065645999999997</v>
      </c>
      <c r="N12" s="213">
        <v>2.5309081999999998</v>
      </c>
      <c r="O12" s="213">
        <v>2.5309081999999998</v>
      </c>
      <c r="P12" s="156">
        <v>5094696</v>
      </c>
      <c r="Q12" s="154" t="s">
        <v>204</v>
      </c>
      <c r="R12" s="1"/>
    </row>
    <row r="13" spans="1:18" ht="39" x14ac:dyDescent="0.25">
      <c r="A13" s="1"/>
      <c r="B13" s="67" t="str">
        <f>SEP</f>
        <v>Smart Energy Program (SEP)</v>
      </c>
      <c r="C13" s="66"/>
      <c r="D13" s="214">
        <v>0.72610169649124146</v>
      </c>
      <c r="E13" s="215">
        <v>0.72610169649124146</v>
      </c>
      <c r="F13" s="215">
        <v>0.72610169649124146</v>
      </c>
      <c r="G13" s="215">
        <v>0.86492349999999996</v>
      </c>
      <c r="H13" s="215">
        <v>0.86492335796356201</v>
      </c>
      <c r="I13" s="215">
        <v>0.86492335796356201</v>
      </c>
      <c r="J13" s="215">
        <v>0.86492335796356201</v>
      </c>
      <c r="K13" s="215">
        <v>0.86492335796356201</v>
      </c>
      <c r="L13" s="215">
        <v>0.86492335796356201</v>
      </c>
      <c r="M13" s="215">
        <v>0.86492335796356201</v>
      </c>
      <c r="N13" s="215">
        <v>0.86492335796356201</v>
      </c>
      <c r="O13" s="215">
        <v>0.86492335796356201</v>
      </c>
      <c r="P13" s="157">
        <v>2097875</v>
      </c>
      <c r="Q13" s="155" t="s">
        <v>205</v>
      </c>
      <c r="R13" s="1"/>
    </row>
    <row r="14" spans="1:18" ht="26.25" x14ac:dyDescent="0.25">
      <c r="A14" s="1"/>
      <c r="B14" s="65" t="str">
        <f>SDPC</f>
        <v>Summer Discount Plan Program (SDP) - Commercial</v>
      </c>
      <c r="C14" s="30"/>
      <c r="D14" s="212">
        <v>1.9993953704833984</v>
      </c>
      <c r="E14" s="213">
        <v>1.9993953704833984</v>
      </c>
      <c r="F14" s="213">
        <v>1.9993953704833984</v>
      </c>
      <c r="G14" s="213">
        <v>2.1412469999999999</v>
      </c>
      <c r="H14" s="213">
        <v>2.1412467956542969</v>
      </c>
      <c r="I14" s="213">
        <v>2.1412467956542969</v>
      </c>
      <c r="J14" s="213">
        <v>2.1412467956542969</v>
      </c>
      <c r="K14" s="213">
        <v>2.1412467956542969</v>
      </c>
      <c r="L14" s="213">
        <v>2.1412467956542969</v>
      </c>
      <c r="M14" s="213">
        <v>2.1412467956542969</v>
      </c>
      <c r="N14" s="213">
        <v>2.1412467956542969</v>
      </c>
      <c r="O14" s="213">
        <v>2.1412467956542969</v>
      </c>
      <c r="P14" s="156">
        <v>294947</v>
      </c>
      <c r="Q14" s="154" t="s">
        <v>206</v>
      </c>
      <c r="R14" s="1"/>
    </row>
    <row r="15" spans="1:18" ht="39" x14ac:dyDescent="0.25">
      <c r="A15" s="1"/>
      <c r="B15" s="67" t="str">
        <f>SDPR</f>
        <v>Summer Discount Plan Program (SDP) - Residential</v>
      </c>
      <c r="C15" s="66"/>
      <c r="D15" s="214">
        <v>0.75923669338226318</v>
      </c>
      <c r="E15" s="215">
        <v>0.75923669338226318</v>
      </c>
      <c r="F15" s="215">
        <v>0.75923669338226318</v>
      </c>
      <c r="G15" s="215">
        <v>0.84748699999999999</v>
      </c>
      <c r="H15" s="215">
        <v>0.84748697280883789</v>
      </c>
      <c r="I15" s="215">
        <v>0.84748697280883789</v>
      </c>
      <c r="J15" s="215">
        <v>0.84748697280883789</v>
      </c>
      <c r="K15" s="215">
        <v>0.84748697280883789</v>
      </c>
      <c r="L15" s="215">
        <v>0.84748697280883789</v>
      </c>
      <c r="M15" s="215">
        <v>0.84748697280883789</v>
      </c>
      <c r="N15" s="215">
        <v>0.84748697280883789</v>
      </c>
      <c r="O15" s="215">
        <v>0.84748697280883789</v>
      </c>
      <c r="P15" s="157">
        <v>2145914</v>
      </c>
      <c r="Q15" s="155" t="s">
        <v>207</v>
      </c>
      <c r="R15" s="1"/>
    </row>
    <row r="16" spans="1:18" x14ac:dyDescent="0.25">
      <c r="A16" s="1"/>
      <c r="B16" s="38" t="s">
        <v>64</v>
      </c>
      <c r="C16" s="30"/>
      <c r="D16" s="118"/>
      <c r="E16" s="119"/>
      <c r="F16" s="119"/>
      <c r="G16" s="119"/>
      <c r="H16" s="119"/>
      <c r="I16" s="119"/>
      <c r="J16" s="119"/>
      <c r="K16" s="119"/>
      <c r="L16" s="119"/>
      <c r="M16" s="119"/>
      <c r="N16" s="119"/>
      <c r="O16" s="119"/>
      <c r="P16" s="68"/>
      <c r="Q16" s="32"/>
      <c r="R16" s="1"/>
    </row>
    <row r="17" spans="1:18" ht="51.75" x14ac:dyDescent="0.25">
      <c r="A17" s="1"/>
      <c r="B17" s="67" t="str">
        <f>CPP_SM</f>
        <v>Critical Peak Pricing - Small 0 to 20 kW</v>
      </c>
      <c r="C17" s="66"/>
      <c r="D17" s="214">
        <v>3.4194000000000004E-3</v>
      </c>
      <c r="E17" s="215">
        <v>3.4194000000000004E-3</v>
      </c>
      <c r="F17" s="215">
        <v>3.4194000000000004E-3</v>
      </c>
      <c r="G17" s="215">
        <v>9.3313264764136195E-3</v>
      </c>
      <c r="H17" s="215">
        <v>1.0856306694928295E-2</v>
      </c>
      <c r="I17" s="215">
        <v>1.0856306694928295E-2</v>
      </c>
      <c r="J17" s="215">
        <v>1.0856306694928295E-2</v>
      </c>
      <c r="K17" s="215">
        <v>1.0856306694928295E-2</v>
      </c>
      <c r="L17" s="215">
        <v>1.0856306694928295E-2</v>
      </c>
      <c r="M17" s="215">
        <v>1.0856306694928295E-2</v>
      </c>
      <c r="N17" s="215">
        <v>1.0856306694928295E-2</v>
      </c>
      <c r="O17" s="215">
        <v>1.0856306694928295E-2</v>
      </c>
      <c r="P17" s="157">
        <v>3430981</v>
      </c>
      <c r="Q17" s="155" t="s">
        <v>208</v>
      </c>
      <c r="R17" s="1"/>
    </row>
    <row r="18" spans="1:18" ht="64.5" x14ac:dyDescent="0.25">
      <c r="A18" s="1"/>
      <c r="B18" s="65" t="str">
        <f>CPP_MED</f>
        <v>Critical Peak Pricing - Med 20 to 199.99 kW</v>
      </c>
      <c r="C18" s="30"/>
      <c r="D18" s="212">
        <v>0.16774639999999999</v>
      </c>
      <c r="E18" s="213">
        <v>0.16774639999999999</v>
      </c>
      <c r="F18" s="213">
        <v>0.16774639999999999</v>
      </c>
      <c r="G18" s="213">
        <v>2.186765864035484E-2</v>
      </c>
      <c r="H18" s="213">
        <v>3.639496876980175E-2</v>
      </c>
      <c r="I18" s="213">
        <v>3.639496876980175E-2</v>
      </c>
      <c r="J18" s="213">
        <v>3.639496876980175E-2</v>
      </c>
      <c r="K18" s="213">
        <v>3.639496876980175E-2</v>
      </c>
      <c r="L18" s="213">
        <v>3.639496876980175E-2</v>
      </c>
      <c r="M18" s="213">
        <v>3.639496876980175E-2</v>
      </c>
      <c r="N18" s="213">
        <v>3.639496876980175E-2</v>
      </c>
      <c r="O18" s="213">
        <v>3.639496876980175E-2</v>
      </c>
      <c r="P18" s="157">
        <v>44046</v>
      </c>
      <c r="Q18" s="154" t="s">
        <v>209</v>
      </c>
      <c r="R18" s="1"/>
    </row>
    <row r="19" spans="1:18" ht="64.5" x14ac:dyDescent="0.25">
      <c r="A19" s="1"/>
      <c r="B19" s="67" t="str">
        <f>CPP_LG</f>
        <v>Critical Peak Pricing - Large 20 kW and Above</v>
      </c>
      <c r="C19" s="66"/>
      <c r="D19" s="214">
        <v>5.7124948</v>
      </c>
      <c r="E19" s="215">
        <v>5.7124948</v>
      </c>
      <c r="F19" s="215">
        <v>5.7124948</v>
      </c>
      <c r="G19" s="215">
        <v>4.0136071643588203</v>
      </c>
      <c r="H19" s="215">
        <v>3.7440980132450337</v>
      </c>
      <c r="I19" s="215">
        <v>3.7440980132450337</v>
      </c>
      <c r="J19" s="215">
        <v>3.7440980132450337</v>
      </c>
      <c r="K19" s="215">
        <v>3.7440980132450337</v>
      </c>
      <c r="L19" s="215">
        <v>3.7440980132450337</v>
      </c>
      <c r="M19" s="215">
        <v>3.7440980132450337</v>
      </c>
      <c r="N19" s="215">
        <v>3.7440980132450337</v>
      </c>
      <c r="O19" s="215">
        <v>3.7440980132450337</v>
      </c>
      <c r="P19" s="157">
        <v>5302</v>
      </c>
      <c r="Q19" s="155" t="s">
        <v>210</v>
      </c>
      <c r="R19" s="1"/>
    </row>
    <row r="20" spans="1:18" x14ac:dyDescent="0.25">
      <c r="A20" s="1"/>
      <c r="B20" s="65" t="str">
        <f>OBMC</f>
        <v>Optional Binding Mandatory Curtailment (OBMC)</v>
      </c>
      <c r="C20" s="30"/>
      <c r="D20" s="212">
        <v>1517</v>
      </c>
      <c r="E20" s="213">
        <v>1517</v>
      </c>
      <c r="F20" s="213">
        <v>1517</v>
      </c>
      <c r="G20" s="213">
        <v>1517</v>
      </c>
      <c r="H20" s="213">
        <v>1517</v>
      </c>
      <c r="I20" s="213">
        <v>1517</v>
      </c>
      <c r="J20" s="213">
        <v>1517</v>
      </c>
      <c r="K20" s="213">
        <v>1517</v>
      </c>
      <c r="L20" s="213">
        <v>1517</v>
      </c>
      <c r="M20" s="213">
        <v>1517</v>
      </c>
      <c r="N20" s="213">
        <v>1517</v>
      </c>
      <c r="O20" s="213">
        <v>1517</v>
      </c>
      <c r="P20" s="158" t="s">
        <v>76</v>
      </c>
      <c r="Q20" s="154" t="s">
        <v>213</v>
      </c>
      <c r="R20" s="1"/>
    </row>
    <row r="21" spans="1:18" ht="26.25" x14ac:dyDescent="0.25">
      <c r="A21" s="1"/>
      <c r="B21" s="67" t="str">
        <f>RTP</f>
        <v>Real Time Pricing (RTP)</v>
      </c>
      <c r="C21" s="66"/>
      <c r="D21" s="214">
        <v>0.205474853515625</v>
      </c>
      <c r="E21" s="215">
        <v>0.20371093749999999</v>
      </c>
      <c r="F21" s="215">
        <v>0.333984375</v>
      </c>
      <c r="G21" s="215">
        <v>267.50345125000001</v>
      </c>
      <c r="H21" s="215">
        <v>-225.6700217733578</v>
      </c>
      <c r="I21" s="215">
        <v>-52.385768310546879</v>
      </c>
      <c r="J21" s="215">
        <v>169.72046219343991</v>
      </c>
      <c r="K21" s="215">
        <v>-147.00701400914144</v>
      </c>
      <c r="L21" s="215">
        <v>159.56868015564595</v>
      </c>
      <c r="M21" s="215">
        <v>124.00007515701593</v>
      </c>
      <c r="N21" s="215">
        <v>138.0187724609375</v>
      </c>
      <c r="O21" s="215">
        <v>-72.972760986328126</v>
      </c>
      <c r="P21" s="157">
        <v>427800</v>
      </c>
      <c r="Q21" s="155" t="s">
        <v>211</v>
      </c>
      <c r="R21" s="1"/>
    </row>
    <row r="22" spans="1:18" ht="26.25" x14ac:dyDescent="0.25">
      <c r="A22" s="1"/>
      <c r="B22" s="65" t="str">
        <f>SLRP</f>
        <v>Scheduled Load Reduction Program (SLRP)</v>
      </c>
      <c r="C22" s="30"/>
      <c r="D22" s="212" t="s">
        <v>76</v>
      </c>
      <c r="E22" s="213" t="s">
        <v>76</v>
      </c>
      <c r="F22" s="213" t="s">
        <v>76</v>
      </c>
      <c r="G22" s="213" t="s">
        <v>76</v>
      </c>
      <c r="H22" s="213" t="s">
        <v>76</v>
      </c>
      <c r="I22" s="213" t="s">
        <v>76</v>
      </c>
      <c r="J22" s="213" t="s">
        <v>76</v>
      </c>
      <c r="K22" s="213" t="s">
        <v>76</v>
      </c>
      <c r="L22" s="213" t="s">
        <v>76</v>
      </c>
      <c r="M22" s="213" t="s">
        <v>76</v>
      </c>
      <c r="N22" s="213" t="s">
        <v>76</v>
      </c>
      <c r="O22" s="213" t="s">
        <v>76</v>
      </c>
      <c r="P22" s="157">
        <v>15800</v>
      </c>
      <c r="Q22" s="154" t="s">
        <v>212</v>
      </c>
      <c r="R22" s="1"/>
    </row>
    <row r="23" spans="1:18" ht="12.75" customHeight="1" x14ac:dyDescent="0.25">
      <c r="A23" s="1"/>
      <c r="B23" s="1"/>
      <c r="C23" s="1"/>
      <c r="D23" s="1"/>
      <c r="E23" s="1"/>
      <c r="F23" s="1"/>
      <c r="G23" s="1"/>
      <c r="H23" s="1"/>
      <c r="I23" s="1"/>
      <c r="J23" s="1"/>
      <c r="K23" s="1"/>
      <c r="L23" s="1"/>
      <c r="M23" s="1"/>
      <c r="N23" s="1"/>
      <c r="O23" s="1"/>
      <c r="P23" s="1"/>
      <c r="Q23" s="1"/>
      <c r="R23" s="1"/>
    </row>
    <row r="24" spans="1:18" ht="12.75" customHeight="1" x14ac:dyDescent="0.25">
      <c r="A24" s="1"/>
      <c r="B24" s="2" t="s">
        <v>72</v>
      </c>
      <c r="C24" s="1"/>
      <c r="D24" s="1"/>
      <c r="E24" s="1"/>
      <c r="F24" s="1"/>
      <c r="G24" s="1"/>
      <c r="H24" s="1"/>
      <c r="I24" s="1"/>
      <c r="J24" s="1"/>
      <c r="K24" s="1"/>
      <c r="L24" s="1"/>
      <c r="M24" s="1"/>
      <c r="N24" s="1"/>
      <c r="O24" s="1"/>
      <c r="P24" s="1"/>
      <c r="Q24" s="1"/>
      <c r="R24" s="1"/>
    </row>
    <row r="25" spans="1:18" ht="41.25" customHeight="1" x14ac:dyDescent="0.25">
      <c r="A25" s="1"/>
      <c r="B25" s="234" t="s">
        <v>263</v>
      </c>
      <c r="C25" s="234"/>
      <c r="D25" s="234"/>
      <c r="E25" s="234"/>
      <c r="F25" s="234"/>
      <c r="G25" s="234"/>
      <c r="H25" s="234"/>
      <c r="I25" s="234"/>
      <c r="J25" s="234"/>
      <c r="K25" s="234"/>
      <c r="L25" s="234"/>
      <c r="M25" s="234"/>
      <c r="N25" s="234"/>
      <c r="O25" s="234"/>
      <c r="P25" s="234"/>
      <c r="Q25" s="234"/>
      <c r="R25" s="1"/>
    </row>
    <row r="26" spans="1:18" x14ac:dyDescent="0.25">
      <c r="A26" s="1"/>
      <c r="B26" s="234" t="s">
        <v>215</v>
      </c>
      <c r="C26" s="234"/>
      <c r="D26" s="234"/>
      <c r="E26" s="234"/>
      <c r="F26" s="234"/>
      <c r="G26" s="234"/>
      <c r="H26" s="234"/>
      <c r="I26" s="234"/>
      <c r="J26" s="234"/>
      <c r="K26" s="234"/>
      <c r="L26" s="234"/>
      <c r="M26" s="234"/>
      <c r="N26" s="234"/>
      <c r="O26" s="234"/>
      <c r="P26" s="234"/>
      <c r="Q26" s="234"/>
      <c r="R26" s="1"/>
    </row>
    <row r="27" spans="1:18" x14ac:dyDescent="0.25">
      <c r="A27" s="1"/>
      <c r="B27" s="1"/>
      <c r="C27" s="1"/>
      <c r="D27" s="1"/>
      <c r="E27" s="1"/>
      <c r="F27" s="1"/>
      <c r="G27" s="1"/>
      <c r="H27" s="1"/>
      <c r="I27" s="1"/>
      <c r="J27" s="1"/>
      <c r="K27" s="1"/>
      <c r="L27" s="1"/>
      <c r="M27" s="1"/>
      <c r="N27" s="1"/>
      <c r="O27" s="1"/>
      <c r="P27" s="1"/>
      <c r="Q27" s="1"/>
      <c r="R27" s="1"/>
    </row>
    <row r="28" spans="1:18" x14ac:dyDescent="0.25">
      <c r="A28" s="1"/>
      <c r="B28" s="1"/>
      <c r="C28" s="1"/>
      <c r="D28" s="1"/>
      <c r="E28" s="1"/>
      <c r="F28" s="1"/>
      <c r="G28" s="1"/>
      <c r="H28" s="1"/>
      <c r="I28" s="1"/>
      <c r="J28" s="1"/>
      <c r="K28" s="1"/>
      <c r="L28" s="1"/>
      <c r="M28" s="1"/>
      <c r="N28" s="1"/>
      <c r="O28" s="1"/>
      <c r="P28" s="1"/>
      <c r="Q28" s="1"/>
      <c r="R28" s="1"/>
    </row>
    <row r="29" spans="1:18" ht="12.75" customHeight="1" x14ac:dyDescent="0.25">
      <c r="A29" s="1"/>
      <c r="B29" s="1"/>
      <c r="C29" s="1"/>
      <c r="D29" s="231" t="s">
        <v>77</v>
      </c>
      <c r="E29" s="232"/>
      <c r="F29" s="232"/>
      <c r="G29" s="232"/>
      <c r="H29" s="232"/>
      <c r="I29" s="232"/>
      <c r="J29" s="232"/>
      <c r="K29" s="232"/>
      <c r="L29" s="232"/>
      <c r="M29" s="232"/>
      <c r="N29" s="232"/>
      <c r="O29" s="233"/>
      <c r="P29" s="235" t="s">
        <v>200</v>
      </c>
      <c r="Q29" s="1"/>
      <c r="R29" s="1"/>
    </row>
    <row r="30" spans="1:18" ht="53.25" customHeight="1" x14ac:dyDescent="0.25">
      <c r="A30" s="1"/>
      <c r="B30" s="1"/>
      <c r="C30" s="1"/>
      <c r="D30" s="51" t="s">
        <v>53</v>
      </c>
      <c r="E30" s="56" t="s">
        <v>54</v>
      </c>
      <c r="F30" s="56" t="s">
        <v>55</v>
      </c>
      <c r="G30" s="56" t="s">
        <v>56</v>
      </c>
      <c r="H30" s="56" t="s">
        <v>57</v>
      </c>
      <c r="I30" s="56" t="s">
        <v>58</v>
      </c>
      <c r="J30" s="56" t="s">
        <v>66</v>
      </c>
      <c r="K30" s="56" t="s">
        <v>67</v>
      </c>
      <c r="L30" s="56" t="s">
        <v>68</v>
      </c>
      <c r="M30" s="56" t="s">
        <v>69</v>
      </c>
      <c r="N30" s="56" t="s">
        <v>70</v>
      </c>
      <c r="O30" s="52" t="s">
        <v>71</v>
      </c>
      <c r="P30" s="235"/>
      <c r="Q30" s="1"/>
      <c r="R30" s="1"/>
    </row>
    <row r="31" spans="1:18" x14ac:dyDescent="0.25">
      <c r="A31" s="1"/>
      <c r="B31" s="40" t="s">
        <v>62</v>
      </c>
      <c r="C31" s="43"/>
      <c r="D31" s="42"/>
      <c r="E31" s="43"/>
      <c r="F31" s="43"/>
      <c r="G31" s="43"/>
      <c r="H31" s="43"/>
      <c r="I31" s="43"/>
      <c r="J31" s="43"/>
      <c r="K31" s="43"/>
      <c r="L31" s="43"/>
      <c r="M31" s="43"/>
      <c r="N31" s="43"/>
      <c r="O31" s="41"/>
      <c r="P31" s="235"/>
      <c r="Q31" s="1"/>
      <c r="R31" s="1"/>
    </row>
    <row r="32" spans="1:18" ht="26.25" x14ac:dyDescent="0.25">
      <c r="A32" s="1"/>
      <c r="B32" s="65" t="str">
        <f>API</f>
        <v>Agricultural &amp; Pumping Interruptible (API)</v>
      </c>
      <c r="C32" s="30"/>
      <c r="D32" s="212">
        <v>7.5504911899566647</v>
      </c>
      <c r="E32" s="213">
        <v>13.416630363464355</v>
      </c>
      <c r="F32" s="213">
        <v>15.444344329833985</v>
      </c>
      <c r="G32" s="213">
        <v>28.848683799999996</v>
      </c>
      <c r="H32" s="213">
        <v>31.445501516</v>
      </c>
      <c r="I32" s="213">
        <v>36.050898742000001</v>
      </c>
      <c r="J32" s="213">
        <v>37.520503808000001</v>
      </c>
      <c r="K32" s="213">
        <v>33.607328224</v>
      </c>
      <c r="L32" s="213">
        <v>24.943668940000002</v>
      </c>
      <c r="M32" s="213">
        <v>19.851513292</v>
      </c>
      <c r="N32" s="213">
        <v>12.906725122000001</v>
      </c>
      <c r="O32" s="213">
        <v>7.6109610557999998</v>
      </c>
      <c r="P32" s="156">
        <v>12892</v>
      </c>
      <c r="Q32" s="154" t="s">
        <v>201</v>
      </c>
      <c r="R32" s="1"/>
    </row>
    <row r="33" spans="1:18" ht="26.25" x14ac:dyDescent="0.25">
      <c r="A33" s="1"/>
      <c r="B33" s="67" t="str">
        <f>BIP_15</f>
        <v>Base Interruptible Program (BIP) 15 Minute Option</v>
      </c>
      <c r="C33" s="66"/>
      <c r="D33" s="214">
        <v>3551.8866000000003</v>
      </c>
      <c r="E33" s="215">
        <v>3786.3377999999998</v>
      </c>
      <c r="F33" s="215">
        <v>3556.5673999999999</v>
      </c>
      <c r="G33" s="215">
        <v>3744.3177999999998</v>
      </c>
      <c r="H33" s="215">
        <v>4189.3835999999992</v>
      </c>
      <c r="I33" s="215">
        <v>4445.3887999999988</v>
      </c>
      <c r="J33" s="215">
        <v>4291.4562000000005</v>
      </c>
      <c r="K33" s="215">
        <v>4154.8274000000001</v>
      </c>
      <c r="L33" s="215">
        <v>4050.7637999999997</v>
      </c>
      <c r="M33" s="215">
        <v>4303.2039999999997</v>
      </c>
      <c r="N33" s="215">
        <v>4256.0960000000005</v>
      </c>
      <c r="O33" s="215">
        <v>3757.7480000000005</v>
      </c>
      <c r="P33" s="157">
        <v>7759</v>
      </c>
      <c r="Q33" s="155" t="s">
        <v>202</v>
      </c>
      <c r="R33" s="1"/>
    </row>
    <row r="34" spans="1:18" ht="26.25" x14ac:dyDescent="0.25">
      <c r="A34" s="1"/>
      <c r="B34" s="65" t="str">
        <f>BIP_30</f>
        <v>Base Interruptible Program (BIP) 30 Minute Option</v>
      </c>
      <c r="C34" s="30"/>
      <c r="D34" s="212">
        <v>1076.94406</v>
      </c>
      <c r="E34" s="213">
        <v>1150.3558</v>
      </c>
      <c r="F34" s="213">
        <v>1066.4156600000001</v>
      </c>
      <c r="G34" s="213">
        <v>1062.3444999999997</v>
      </c>
      <c r="H34" s="213">
        <v>1121.93226</v>
      </c>
      <c r="I34" s="213">
        <v>1028.5768199999998</v>
      </c>
      <c r="J34" s="213">
        <v>1050.4629399999999</v>
      </c>
      <c r="K34" s="213">
        <v>1106.8859600000001</v>
      </c>
      <c r="L34" s="213">
        <v>1081.05558</v>
      </c>
      <c r="M34" s="213">
        <v>1098.38366</v>
      </c>
      <c r="N34" s="213">
        <v>1131.1327999999999</v>
      </c>
      <c r="O34" s="213">
        <v>971.06024000000002</v>
      </c>
      <c r="P34" s="156">
        <v>7759</v>
      </c>
      <c r="Q34" s="154" t="s">
        <v>203</v>
      </c>
      <c r="R34" s="1"/>
    </row>
    <row r="35" spans="1:18" ht="39" x14ac:dyDescent="0.25">
      <c r="A35" s="1"/>
      <c r="B35" s="67" t="str">
        <f>CBP_DA</f>
        <v>Capacity Bidding Program (CBP) Day Ahead</v>
      </c>
      <c r="C35" s="66"/>
      <c r="D35" s="214">
        <v>0</v>
      </c>
      <c r="E35" s="215">
        <v>0</v>
      </c>
      <c r="F35" s="215">
        <v>0</v>
      </c>
      <c r="G35" s="215">
        <v>1.48414</v>
      </c>
      <c r="H35" s="215">
        <v>6.6794515999999984</v>
      </c>
      <c r="I35" s="215">
        <v>6.1526045999999992</v>
      </c>
      <c r="J35" s="215">
        <v>5.6586905999999999</v>
      </c>
      <c r="K35" s="215">
        <v>5.7230335999999999</v>
      </c>
      <c r="L35" s="215">
        <v>5.6809370000000001</v>
      </c>
      <c r="M35" s="215">
        <v>5.7313331999999999</v>
      </c>
      <c r="N35" s="215">
        <v>1.7282426000000002</v>
      </c>
      <c r="O35" s="215">
        <v>1.7282426000000002</v>
      </c>
      <c r="P35" s="157">
        <v>5094696</v>
      </c>
      <c r="Q35" s="155" t="s">
        <v>204</v>
      </c>
      <c r="R35" s="1"/>
    </row>
    <row r="36" spans="1:18" ht="39" x14ac:dyDescent="0.25">
      <c r="A36" s="1"/>
      <c r="B36" s="65" t="str">
        <f>CBP_DO</f>
        <v>Capacity Bidding Program (CBP) Day Of</v>
      </c>
      <c r="C36" s="30"/>
      <c r="D36" s="212">
        <v>0</v>
      </c>
      <c r="E36" s="213">
        <v>0</v>
      </c>
      <c r="F36" s="213">
        <v>0</v>
      </c>
      <c r="G36" s="213">
        <v>1.376152</v>
      </c>
      <c r="H36" s="213">
        <v>6.6843024000000018</v>
      </c>
      <c r="I36" s="213">
        <v>6.5359449999999999</v>
      </c>
      <c r="J36" s="213">
        <v>6.5372134000000006</v>
      </c>
      <c r="K36" s="213">
        <v>6.5890206000000004</v>
      </c>
      <c r="L36" s="213">
        <v>6.5890206000000004</v>
      </c>
      <c r="M36" s="213">
        <v>6.5890206000000004</v>
      </c>
      <c r="N36" s="213">
        <v>1.6024934000000002</v>
      </c>
      <c r="O36" s="213">
        <v>1.6024934000000002</v>
      </c>
      <c r="P36" s="156">
        <v>5094696</v>
      </c>
      <c r="Q36" s="154" t="s">
        <v>204</v>
      </c>
      <c r="R36" s="1"/>
    </row>
    <row r="37" spans="1:18" ht="39" x14ac:dyDescent="0.25">
      <c r="A37" s="1"/>
      <c r="B37" s="67" t="str">
        <f>SEP</f>
        <v>Smart Energy Program (SEP)</v>
      </c>
      <c r="C37" s="66"/>
      <c r="D37" s="214">
        <v>0</v>
      </c>
      <c r="E37" s="215">
        <v>0</v>
      </c>
      <c r="F37" s="215">
        <v>1.3590633869171143E-2</v>
      </c>
      <c r="G37" s="215">
        <v>0.30720019999999998</v>
      </c>
      <c r="H37" s="215">
        <v>0.22109682559967042</v>
      </c>
      <c r="I37" s="215">
        <v>0.42294915914535525</v>
      </c>
      <c r="J37" s="215">
        <v>0.41907823085784912</v>
      </c>
      <c r="K37" s="215">
        <v>0.4641716480255127</v>
      </c>
      <c r="L37" s="215">
        <v>0.50067319869995119</v>
      </c>
      <c r="M37" s="215">
        <v>0.44962159395217893</v>
      </c>
      <c r="N37" s="215">
        <v>0.24315414428710938</v>
      </c>
      <c r="O37" s="215">
        <v>0</v>
      </c>
      <c r="P37" s="157">
        <v>2097875</v>
      </c>
      <c r="Q37" s="155" t="s">
        <v>205</v>
      </c>
      <c r="R37" s="1"/>
    </row>
    <row r="38" spans="1:18" ht="26.25" x14ac:dyDescent="0.25">
      <c r="A38" s="1"/>
      <c r="B38" s="65" t="str">
        <f>SDPC</f>
        <v>Summer Discount Plan Program (SDP) - Commercial</v>
      </c>
      <c r="C38" s="30"/>
      <c r="D38" s="212">
        <v>1.6052839254574605</v>
      </c>
      <c r="E38" s="213">
        <v>1.8218432111362084</v>
      </c>
      <c r="F38" s="213">
        <v>1.8399780962667271</v>
      </c>
      <c r="G38" s="213">
        <v>1.8444753999999999</v>
      </c>
      <c r="H38" s="213">
        <v>1.8400021295248172</v>
      </c>
      <c r="I38" s="213">
        <v>2.1005887937567342</v>
      </c>
      <c r="J38" s="213">
        <v>1.9667326207313649</v>
      </c>
      <c r="K38" s="213">
        <v>2.2524783670325883</v>
      </c>
      <c r="L38" s="213">
        <v>2.3547261412354992</v>
      </c>
      <c r="M38" s="213">
        <v>2.2668481547993897</v>
      </c>
      <c r="N38" s="213">
        <v>1.8722874520493362</v>
      </c>
      <c r="O38" s="213">
        <v>0.76477529502760166</v>
      </c>
      <c r="P38" s="156">
        <v>294947</v>
      </c>
      <c r="Q38" s="154" t="s">
        <v>206</v>
      </c>
      <c r="R38" s="1"/>
    </row>
    <row r="39" spans="1:18" ht="39" x14ac:dyDescent="0.25">
      <c r="A39" s="1"/>
      <c r="B39" s="67" t="str">
        <f>SDPR</f>
        <v>Summer Discount Plan Program (SDP) - Residential</v>
      </c>
      <c r="C39" s="66"/>
      <c r="D39" s="214">
        <v>0</v>
      </c>
      <c r="E39" s="215">
        <v>0</v>
      </c>
      <c r="F39" s="215">
        <v>1.149794466510068E-3</v>
      </c>
      <c r="G39" s="215">
        <v>0.16843339999999998</v>
      </c>
      <c r="H39" s="215">
        <v>7.066502056443727E-2</v>
      </c>
      <c r="I39" s="215">
        <v>0.85853365312041596</v>
      </c>
      <c r="J39" s="215">
        <v>0.92514015453754761</v>
      </c>
      <c r="K39" s="215">
        <v>0.93279824364948638</v>
      </c>
      <c r="L39" s="215">
        <v>0.96897567877979718</v>
      </c>
      <c r="M39" s="215">
        <v>0.27144764381395525</v>
      </c>
      <c r="N39" s="215">
        <v>0.10151856427125176</v>
      </c>
      <c r="O39" s="215">
        <v>0</v>
      </c>
      <c r="P39" s="157">
        <v>2145914</v>
      </c>
      <c r="Q39" s="155" t="s">
        <v>207</v>
      </c>
      <c r="R39" s="1"/>
    </row>
    <row r="40" spans="1:18" x14ac:dyDescent="0.25">
      <c r="A40" s="1"/>
      <c r="B40" s="38" t="s">
        <v>64</v>
      </c>
      <c r="C40" s="30"/>
      <c r="D40" s="65"/>
      <c r="E40" s="30"/>
      <c r="F40" s="30"/>
      <c r="G40" s="30"/>
      <c r="H40" s="30"/>
      <c r="I40" s="30"/>
      <c r="J40" s="30"/>
      <c r="K40" s="30"/>
      <c r="L40" s="30"/>
      <c r="M40" s="30"/>
      <c r="N40" s="30"/>
      <c r="O40" s="30"/>
      <c r="P40" s="68"/>
      <c r="Q40" s="32"/>
      <c r="R40" s="1"/>
    </row>
    <row r="41" spans="1:18" ht="51.75" x14ac:dyDescent="0.25">
      <c r="A41" s="1"/>
      <c r="B41" s="67" t="str">
        <f>CPP_SM</f>
        <v>Critical Peak Pricing - Small 0 to 20 kW</v>
      </c>
      <c r="C41" s="66"/>
      <c r="D41" s="214">
        <v>2.1045999999999999E-3</v>
      </c>
      <c r="E41" s="215">
        <v>2.1113999999999998E-3</v>
      </c>
      <c r="F41" s="215">
        <v>2.0476000000000001E-3</v>
      </c>
      <c r="G41" s="215">
        <v>6.181400000000001E-3</v>
      </c>
      <c r="H41" s="215">
        <v>8.6198200000000003E-3</v>
      </c>
      <c r="I41" s="215">
        <v>1.0226019999999999E-2</v>
      </c>
      <c r="J41" s="215">
        <v>1.159548E-2</v>
      </c>
      <c r="K41" s="215">
        <v>1.1679739999999999E-2</v>
      </c>
      <c r="L41" s="215">
        <v>1.1259419999999999E-2</v>
      </c>
      <c r="M41" s="215">
        <v>9.7440799999999987E-3</v>
      </c>
      <c r="N41" s="215">
        <v>8.37362E-3</v>
      </c>
      <c r="O41" s="215">
        <v>7.9626199999999984E-3</v>
      </c>
      <c r="P41" s="157">
        <v>3430981</v>
      </c>
      <c r="Q41" s="155" t="s">
        <v>208</v>
      </c>
      <c r="R41" s="1"/>
    </row>
    <row r="42" spans="1:18" ht="64.5" x14ac:dyDescent="0.25">
      <c r="A42" s="1"/>
      <c r="B42" s="65" t="str">
        <f>CPP_MED</f>
        <v>Critical Peak Pricing - Med 20 to 199.99 kW</v>
      </c>
      <c r="C42" s="30"/>
      <c r="D42" s="212">
        <v>0.1091382</v>
      </c>
      <c r="E42" s="213">
        <v>0.1107404</v>
      </c>
      <c r="F42" s="213">
        <v>0.1137608</v>
      </c>
      <c r="G42" s="213">
        <v>8.989999999999998E-3</v>
      </c>
      <c r="H42" s="213">
        <v>3.2275879999999993E-2</v>
      </c>
      <c r="I42" s="213">
        <v>3.8481460000000002E-2</v>
      </c>
      <c r="J42" s="213">
        <v>0.18180301999999998</v>
      </c>
      <c r="K42" s="213">
        <v>7.2721080000000007E-2</v>
      </c>
      <c r="L42" s="213">
        <v>3.160106E-2</v>
      </c>
      <c r="M42" s="213">
        <v>3.3711780000000004E-2</v>
      </c>
      <c r="N42" s="213">
        <v>2.7893700000000004E-2</v>
      </c>
      <c r="O42" s="213">
        <v>2.3382820000000002E-2</v>
      </c>
      <c r="P42" s="157">
        <v>44046</v>
      </c>
      <c r="Q42" s="154" t="s">
        <v>209</v>
      </c>
      <c r="R42" s="1"/>
    </row>
    <row r="43" spans="1:18" ht="64.5" x14ac:dyDescent="0.25">
      <c r="A43" s="1"/>
      <c r="B43" s="67" t="str">
        <f>CPP_LG</f>
        <v>Critical Peak Pricing - Large 20 kW and Above</v>
      </c>
      <c r="C43" s="66"/>
      <c r="D43" s="214">
        <v>4.3386492000000008</v>
      </c>
      <c r="E43" s="215">
        <v>4.5849925999999996</v>
      </c>
      <c r="F43" s="215">
        <v>5.0294836000000007</v>
      </c>
      <c r="G43" s="215">
        <v>3.7821199999999999</v>
      </c>
      <c r="H43" s="215">
        <v>3.6642623999999997</v>
      </c>
      <c r="I43" s="215">
        <v>4.9858807999999994</v>
      </c>
      <c r="J43" s="215">
        <v>4.9430018000000002</v>
      </c>
      <c r="K43" s="215">
        <v>4.2210074000000004</v>
      </c>
      <c r="L43" s="215">
        <v>3.4044978000000001</v>
      </c>
      <c r="M43" s="215">
        <v>3.8345305999999999</v>
      </c>
      <c r="N43" s="215">
        <v>3.5886857999999995</v>
      </c>
      <c r="O43" s="215">
        <v>3.1500645999999999</v>
      </c>
      <c r="P43" s="157">
        <v>5302</v>
      </c>
      <c r="Q43" s="155" t="s">
        <v>210</v>
      </c>
      <c r="R43" s="1"/>
    </row>
    <row r="44" spans="1:18" x14ac:dyDescent="0.25">
      <c r="A44" s="1"/>
      <c r="B44" s="65" t="str">
        <f>OBMC</f>
        <v>Optional Binding Mandatory Curtailment (OBMC)</v>
      </c>
      <c r="C44" s="30"/>
      <c r="D44" s="212">
        <v>1596.9</v>
      </c>
      <c r="E44" s="213">
        <v>1599.4</v>
      </c>
      <c r="F44" s="213">
        <v>1601.1</v>
      </c>
      <c r="G44" s="213">
        <v>1555.4</v>
      </c>
      <c r="H44" s="213">
        <v>1609.8</v>
      </c>
      <c r="I44" s="213">
        <v>1524.3</v>
      </c>
      <c r="J44" s="213">
        <v>1510.6</v>
      </c>
      <c r="K44" s="213">
        <v>1532.1</v>
      </c>
      <c r="L44" s="213">
        <v>1469.2</v>
      </c>
      <c r="M44" s="213">
        <v>1450.6</v>
      </c>
      <c r="N44" s="213">
        <v>1498.3</v>
      </c>
      <c r="O44" s="213">
        <v>1348.1</v>
      </c>
      <c r="P44" s="158" t="s">
        <v>76</v>
      </c>
      <c r="Q44" s="154" t="s">
        <v>213</v>
      </c>
      <c r="R44" s="1"/>
    </row>
    <row r="45" spans="1:18" ht="26.25" x14ac:dyDescent="0.25">
      <c r="A45" s="1"/>
      <c r="B45" s="67" t="str">
        <f>RTP</f>
        <v>Real Time Pricing (RTP)</v>
      </c>
      <c r="C45" s="66"/>
      <c r="D45" s="214">
        <v>-3.6376953125000001E-3</v>
      </c>
      <c r="E45" s="215">
        <v>0.48525390624999998</v>
      </c>
      <c r="F45" s="215">
        <v>-2.0678649902343751</v>
      </c>
      <c r="G45" s="215">
        <v>99.887939599999996</v>
      </c>
      <c r="H45" s="215">
        <v>9.2735595703125</v>
      </c>
      <c r="I45" s="215">
        <v>160.80018310546876</v>
      </c>
      <c r="J45" s="215">
        <v>158.6815185546875</v>
      </c>
      <c r="K45" s="215">
        <v>163.18742675781249</v>
      </c>
      <c r="L45" s="215">
        <v>158.44965209960938</v>
      </c>
      <c r="M45" s="215">
        <v>98.1002197265625</v>
      </c>
      <c r="N45" s="215">
        <v>8.4305236816406257</v>
      </c>
      <c r="O45" s="215">
        <v>9.2578613281249993</v>
      </c>
      <c r="P45" s="157">
        <v>427800</v>
      </c>
      <c r="Q45" s="155" t="s">
        <v>211</v>
      </c>
      <c r="R45" s="1"/>
    </row>
    <row r="46" spans="1:18" ht="26.25" x14ac:dyDescent="0.25">
      <c r="A46" s="1"/>
      <c r="B46" s="65" t="str">
        <f>SLRP</f>
        <v>Scheduled Load Reduction Program (SLRP)</v>
      </c>
      <c r="C46" s="30"/>
      <c r="D46" s="212" t="s">
        <v>76</v>
      </c>
      <c r="E46" s="213" t="s">
        <v>76</v>
      </c>
      <c r="F46" s="213" t="s">
        <v>76</v>
      </c>
      <c r="G46" s="213" t="s">
        <v>76</v>
      </c>
      <c r="H46" s="213" t="s">
        <v>76</v>
      </c>
      <c r="I46" s="213" t="s">
        <v>76</v>
      </c>
      <c r="J46" s="213" t="s">
        <v>76</v>
      </c>
      <c r="K46" s="213" t="s">
        <v>76</v>
      </c>
      <c r="L46" s="213" t="s">
        <v>76</v>
      </c>
      <c r="M46" s="213" t="s">
        <v>76</v>
      </c>
      <c r="N46" s="213" t="s">
        <v>76</v>
      </c>
      <c r="O46" s="213" t="s">
        <v>76</v>
      </c>
      <c r="P46" s="157">
        <v>15800</v>
      </c>
      <c r="Q46" s="154" t="s">
        <v>212</v>
      </c>
      <c r="R46" s="1"/>
    </row>
    <row r="47" spans="1:18" x14ac:dyDescent="0.25">
      <c r="A47" s="1"/>
      <c r="B47" s="1"/>
      <c r="C47" s="1"/>
      <c r="D47" s="1"/>
      <c r="E47" s="1"/>
      <c r="F47" s="1"/>
      <c r="G47" s="1"/>
      <c r="H47" s="1"/>
      <c r="I47" s="1"/>
      <c r="J47" s="1"/>
      <c r="K47" s="1"/>
      <c r="L47" s="1"/>
      <c r="M47" s="1"/>
      <c r="N47" s="1"/>
      <c r="O47" s="1"/>
      <c r="P47" s="1"/>
      <c r="Q47" s="1"/>
      <c r="R47" s="1"/>
    </row>
    <row r="48" spans="1:18" x14ac:dyDescent="0.25">
      <c r="A48" s="1"/>
      <c r="B48" s="1"/>
      <c r="C48" s="1"/>
      <c r="D48" s="1"/>
      <c r="E48" s="1"/>
      <c r="F48" s="1"/>
      <c r="G48" s="1"/>
      <c r="H48" s="1"/>
      <c r="I48" s="1"/>
      <c r="J48" s="1"/>
      <c r="K48" s="1"/>
      <c r="L48" s="1"/>
      <c r="M48" s="1"/>
      <c r="N48" s="1"/>
      <c r="O48" s="1"/>
      <c r="P48" s="1"/>
      <c r="Q48" s="1"/>
      <c r="R48" s="1"/>
    </row>
    <row r="49" spans="1:18" x14ac:dyDescent="0.25">
      <c r="A49" s="1"/>
      <c r="B49" s="2" t="s">
        <v>72</v>
      </c>
      <c r="C49" s="1"/>
      <c r="E49" s="1"/>
      <c r="F49" s="1"/>
      <c r="G49" s="1"/>
      <c r="H49" s="1"/>
      <c r="I49" s="1"/>
      <c r="J49" s="1"/>
      <c r="K49" s="1"/>
      <c r="L49" s="1"/>
      <c r="M49" s="1"/>
      <c r="N49" s="1"/>
      <c r="O49" s="1"/>
      <c r="P49" s="1"/>
      <c r="Q49" s="1"/>
      <c r="R49" s="1"/>
    </row>
    <row r="50" spans="1:18" ht="45" customHeight="1" x14ac:dyDescent="0.25">
      <c r="A50" s="1"/>
      <c r="B50" s="234" t="s">
        <v>262</v>
      </c>
      <c r="C50" s="234"/>
      <c r="D50" s="234"/>
      <c r="E50" s="234"/>
      <c r="F50" s="234"/>
      <c r="G50" s="234"/>
      <c r="H50" s="234"/>
      <c r="I50" s="234"/>
      <c r="J50" s="234"/>
      <c r="K50" s="234"/>
      <c r="L50" s="234"/>
      <c r="M50" s="234"/>
      <c r="N50" s="234"/>
      <c r="O50" s="234"/>
      <c r="P50" s="234"/>
      <c r="Q50" s="234"/>
      <c r="R50" s="1"/>
    </row>
    <row r="51" spans="1:18" x14ac:dyDescent="0.25">
      <c r="A51" s="1"/>
      <c r="B51" s="234" t="s">
        <v>216</v>
      </c>
      <c r="C51" s="234"/>
      <c r="D51" s="234"/>
      <c r="E51" s="234"/>
      <c r="F51" s="234"/>
      <c r="G51" s="234"/>
      <c r="H51" s="234"/>
      <c r="I51" s="234"/>
      <c r="J51" s="234"/>
      <c r="K51" s="234"/>
      <c r="L51" s="234"/>
      <c r="M51" s="234"/>
      <c r="N51" s="234"/>
      <c r="O51" s="234"/>
      <c r="P51" s="234"/>
      <c r="Q51" s="234"/>
      <c r="R51" s="1"/>
    </row>
    <row r="52" spans="1:18" x14ac:dyDescent="0.25">
      <c r="A52" s="1"/>
      <c r="B52" s="1"/>
      <c r="C52" s="1"/>
      <c r="D52" s="1"/>
      <c r="E52" s="1"/>
      <c r="F52" s="1"/>
      <c r="G52" s="1"/>
      <c r="H52" s="1"/>
      <c r="I52" s="1"/>
      <c r="J52" s="1"/>
      <c r="K52" s="1"/>
      <c r="L52" s="1"/>
      <c r="M52" s="1"/>
      <c r="N52" s="1"/>
      <c r="O52" s="1"/>
      <c r="P52" s="1"/>
      <c r="Q52" s="1"/>
      <c r="R52" s="1"/>
    </row>
    <row r="53" spans="1:18" x14ac:dyDescent="0.25">
      <c r="A53" s="1"/>
      <c r="B53" s="1"/>
      <c r="C53" s="1"/>
      <c r="D53" s="1"/>
      <c r="E53" s="1"/>
      <c r="F53" s="1"/>
      <c r="G53" s="1"/>
      <c r="H53" s="1"/>
      <c r="I53" s="1"/>
      <c r="J53" s="1"/>
      <c r="K53" s="1"/>
      <c r="L53" s="1"/>
      <c r="M53" s="1"/>
      <c r="N53" s="1"/>
      <c r="O53" s="1"/>
      <c r="P53" s="1"/>
      <c r="Q53" s="1"/>
      <c r="R53" s="1"/>
    </row>
    <row r="54" spans="1:18" x14ac:dyDescent="0.25">
      <c r="A54" s="1"/>
      <c r="B54" s="1"/>
      <c r="C54" s="1"/>
      <c r="D54" s="1"/>
      <c r="E54" s="1"/>
      <c r="F54" s="1"/>
      <c r="G54" s="1"/>
      <c r="H54" s="1"/>
      <c r="I54" s="1"/>
      <c r="J54" s="1"/>
      <c r="K54" s="1"/>
      <c r="L54" s="1"/>
      <c r="M54" s="1"/>
      <c r="N54" s="1"/>
      <c r="O54" s="1"/>
      <c r="P54" s="1"/>
      <c r="Q54" s="1"/>
      <c r="R54" s="1"/>
    </row>
    <row r="55" spans="1:18" x14ac:dyDescent="0.25">
      <c r="A55" s="1"/>
      <c r="B55" s="1"/>
      <c r="C55" s="1"/>
      <c r="D55" s="1"/>
      <c r="E55" s="1"/>
      <c r="F55" s="1"/>
      <c r="G55" s="1"/>
      <c r="H55" s="1"/>
      <c r="I55" s="1"/>
      <c r="J55" s="1"/>
      <c r="K55" s="1"/>
      <c r="L55" s="1"/>
      <c r="M55" s="1"/>
      <c r="N55" s="1"/>
      <c r="O55" s="1"/>
      <c r="P55" s="1"/>
      <c r="Q55" s="1"/>
      <c r="R55" s="1"/>
    </row>
    <row r="56" spans="1:18" x14ac:dyDescent="0.25">
      <c r="A56" s="1"/>
      <c r="B56" s="1"/>
      <c r="C56" s="1"/>
      <c r="D56" s="1"/>
      <c r="E56" s="1"/>
      <c r="F56" s="1"/>
      <c r="G56" s="1"/>
      <c r="H56" s="1"/>
      <c r="I56" s="1"/>
      <c r="J56" s="1"/>
      <c r="K56" s="1"/>
      <c r="L56" s="1"/>
      <c r="M56" s="1"/>
      <c r="N56" s="1"/>
      <c r="O56" s="1"/>
      <c r="P56" s="1"/>
      <c r="Q56" s="1"/>
      <c r="R56" s="1"/>
    </row>
    <row r="57" spans="1:18" x14ac:dyDescent="0.25">
      <c r="A57" s="1"/>
      <c r="B57" s="1"/>
      <c r="C57" s="1"/>
      <c r="D57" s="1"/>
      <c r="E57" s="1"/>
      <c r="F57" s="1"/>
      <c r="G57" s="1"/>
      <c r="H57" s="1"/>
      <c r="I57" s="1"/>
      <c r="J57" s="1"/>
      <c r="K57" s="1"/>
      <c r="L57" s="1"/>
      <c r="M57" s="1"/>
      <c r="N57" s="1"/>
      <c r="O57" s="1"/>
      <c r="P57" s="1"/>
      <c r="Q57" s="1"/>
      <c r="R57" s="1"/>
    </row>
  </sheetData>
  <mergeCells count="9">
    <mergeCell ref="B50:Q50"/>
    <mergeCell ref="B51:Q51"/>
    <mergeCell ref="B1:R1"/>
    <mergeCell ref="D5:O5"/>
    <mergeCell ref="P5:P7"/>
    <mergeCell ref="D29:O29"/>
    <mergeCell ref="P29:P31"/>
    <mergeCell ref="B25:Q25"/>
    <mergeCell ref="B26:Q26"/>
  </mergeCells>
  <pageMargins left="0.7" right="0.7" top="0.75" bottom="0.75" header="0.3" footer="0.3"/>
  <pageSetup paperSize="5" scale="34" orientation="landscape" r:id="rId1"/>
  <headerFooter>
    <oddFooter>&amp;L&amp;F&amp;C&amp;K000000Public&amp;RA-&amp;P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BCE39-A752-448F-865D-FDDD7A1FE91C}">
  <sheetPr>
    <pageSetUpPr fitToPage="1"/>
  </sheetPr>
  <dimension ref="B1:O35"/>
  <sheetViews>
    <sheetView showGridLines="0" view="pageBreakPreview" topLeftCell="B1" zoomScale="60" zoomScaleNormal="90" workbookViewId="0">
      <selection activeCell="D22" sqref="D22:U23"/>
    </sheetView>
  </sheetViews>
  <sheetFormatPr defaultRowHeight="15" x14ac:dyDescent="0.25"/>
  <cols>
    <col min="1" max="1" width="1.7109375" customWidth="1"/>
    <col min="2" max="2" width="65.42578125" customWidth="1"/>
    <col min="3" max="14" width="10.42578125" customWidth="1"/>
  </cols>
  <sheetData>
    <row r="1" spans="2:15" ht="59.25" customHeight="1" x14ac:dyDescent="0.25">
      <c r="B1" s="229" t="s">
        <v>78</v>
      </c>
      <c r="C1" s="230"/>
      <c r="D1" s="230"/>
      <c r="E1" s="230"/>
      <c r="F1" s="230"/>
      <c r="G1" s="230"/>
      <c r="H1" s="230"/>
      <c r="I1" s="230"/>
      <c r="J1" s="230"/>
      <c r="K1" s="230"/>
      <c r="L1" s="230"/>
      <c r="M1" s="230"/>
      <c r="N1" s="230"/>
      <c r="O1" s="2"/>
    </row>
    <row r="2" spans="2:15" ht="13.5" customHeight="1" x14ac:dyDescent="0.25">
      <c r="B2" s="2" t="s">
        <v>51</v>
      </c>
      <c r="C2" s="2"/>
      <c r="D2" s="2"/>
      <c r="E2" s="2"/>
      <c r="F2" s="2"/>
      <c r="G2" s="2"/>
      <c r="H2" s="2"/>
      <c r="I2" s="2"/>
      <c r="J2" s="2"/>
      <c r="K2" s="2"/>
      <c r="L2" s="2"/>
      <c r="M2" s="2"/>
      <c r="N2" s="2"/>
      <c r="O2" s="2"/>
    </row>
    <row r="3" spans="2:15" ht="13.5" customHeight="1" x14ac:dyDescent="0.25">
      <c r="B3" s="2" t="s">
        <v>79</v>
      </c>
      <c r="C3" s="2"/>
      <c r="D3" s="2"/>
      <c r="E3" s="2"/>
      <c r="F3" s="2"/>
      <c r="G3" s="2"/>
      <c r="H3" s="2"/>
      <c r="I3" s="2"/>
      <c r="J3" s="2"/>
      <c r="K3" s="2"/>
      <c r="L3" s="2"/>
      <c r="M3" s="2"/>
      <c r="N3" s="2"/>
      <c r="O3" s="2"/>
    </row>
    <row r="4" spans="2:15" ht="18.75" customHeight="1" x14ac:dyDescent="0.25">
      <c r="B4" s="2"/>
      <c r="C4" s="2"/>
      <c r="D4" s="2"/>
      <c r="E4" s="2"/>
      <c r="F4" s="2"/>
      <c r="G4" s="2"/>
      <c r="H4" s="2"/>
      <c r="I4" s="2"/>
      <c r="J4" s="2"/>
      <c r="K4" s="2"/>
      <c r="L4" s="2"/>
      <c r="M4" s="2"/>
      <c r="N4" s="2"/>
      <c r="O4" s="2"/>
    </row>
    <row r="5" spans="2:15" ht="21" customHeight="1" x14ac:dyDescent="0.25">
      <c r="B5" s="2"/>
      <c r="C5" s="54" t="s">
        <v>53</v>
      </c>
      <c r="D5" s="54" t="s">
        <v>54</v>
      </c>
      <c r="E5" s="54" t="s">
        <v>55</v>
      </c>
      <c r="F5" s="54" t="s">
        <v>56</v>
      </c>
      <c r="G5" s="54" t="s">
        <v>57</v>
      </c>
      <c r="H5" s="54" t="s">
        <v>58</v>
      </c>
      <c r="I5" s="54" t="s">
        <v>66</v>
      </c>
      <c r="J5" s="54" t="s">
        <v>67</v>
      </c>
      <c r="K5" s="54" t="s">
        <v>68</v>
      </c>
      <c r="L5" s="54" t="s">
        <v>69</v>
      </c>
      <c r="M5" s="54" t="s">
        <v>70</v>
      </c>
      <c r="N5" s="54" t="s">
        <v>71</v>
      </c>
      <c r="O5" s="2"/>
    </row>
    <row r="6" spans="2:15" ht="39" x14ac:dyDescent="0.25">
      <c r="B6" s="2"/>
      <c r="C6" s="19" t="s">
        <v>80</v>
      </c>
      <c r="D6" s="19" t="s">
        <v>80</v>
      </c>
      <c r="E6" s="19" t="s">
        <v>80</v>
      </c>
      <c r="F6" s="19" t="s">
        <v>80</v>
      </c>
      <c r="G6" s="19" t="s">
        <v>80</v>
      </c>
      <c r="H6" s="19" t="s">
        <v>80</v>
      </c>
      <c r="I6" s="19" t="s">
        <v>80</v>
      </c>
      <c r="J6" s="19" t="s">
        <v>80</v>
      </c>
      <c r="K6" s="19" t="s">
        <v>80</v>
      </c>
      <c r="L6" s="19" t="s">
        <v>80</v>
      </c>
      <c r="M6" s="19" t="s">
        <v>80</v>
      </c>
      <c r="N6" s="19" t="s">
        <v>80</v>
      </c>
      <c r="O6" s="2"/>
    </row>
    <row r="7" spans="2:15" ht="13.5" customHeight="1" x14ac:dyDescent="0.25">
      <c r="B7" s="16" t="s">
        <v>62</v>
      </c>
      <c r="C7" s="16"/>
      <c r="D7" s="16"/>
      <c r="E7" s="16"/>
      <c r="F7" s="16"/>
      <c r="G7" s="16"/>
      <c r="H7" s="16"/>
      <c r="I7" s="16"/>
      <c r="J7" s="16"/>
      <c r="K7" s="16"/>
      <c r="L7" s="16"/>
      <c r="M7" s="16"/>
      <c r="N7" s="45"/>
      <c r="O7" s="2"/>
    </row>
    <row r="8" spans="2:15" ht="13.5" customHeight="1" x14ac:dyDescent="0.25">
      <c r="B8" s="39" t="str">
        <f>CBPG</f>
        <v>Capacity Bidding Program (CBP)</v>
      </c>
      <c r="C8" s="141">
        <v>0</v>
      </c>
      <c r="D8" s="141">
        <v>0</v>
      </c>
      <c r="E8" s="141">
        <v>0</v>
      </c>
      <c r="F8" s="141">
        <v>0</v>
      </c>
      <c r="G8" s="141">
        <v>0</v>
      </c>
      <c r="H8" s="141">
        <v>0</v>
      </c>
      <c r="I8" s="141"/>
      <c r="J8" s="141"/>
      <c r="K8" s="141"/>
      <c r="L8" s="141"/>
      <c r="M8" s="141"/>
      <c r="N8" s="142"/>
      <c r="O8" s="2"/>
    </row>
    <row r="9" spans="2:15" ht="13.5" customHeight="1" thickBot="1" x14ac:dyDescent="0.3">
      <c r="B9" s="48" t="s">
        <v>63</v>
      </c>
      <c r="C9" s="143">
        <f>SUM(C8)</f>
        <v>0</v>
      </c>
      <c r="D9" s="143">
        <v>0</v>
      </c>
      <c r="E9" s="143">
        <v>0</v>
      </c>
      <c r="F9" s="143">
        <f t="shared" ref="F9:N9" si="0">SUM(F8)</f>
        <v>0</v>
      </c>
      <c r="G9" s="143">
        <f t="shared" si="0"/>
        <v>0</v>
      </c>
      <c r="H9" s="143">
        <f t="shared" si="0"/>
        <v>0</v>
      </c>
      <c r="I9" s="143">
        <f t="shared" si="0"/>
        <v>0</v>
      </c>
      <c r="J9" s="143">
        <f t="shared" si="0"/>
        <v>0</v>
      </c>
      <c r="K9" s="143">
        <f t="shared" si="0"/>
        <v>0</v>
      </c>
      <c r="L9" s="143">
        <f t="shared" si="0"/>
        <v>0</v>
      </c>
      <c r="M9" s="143">
        <f t="shared" si="0"/>
        <v>0</v>
      </c>
      <c r="N9" s="143">
        <f t="shared" si="0"/>
        <v>0</v>
      </c>
      <c r="O9" s="2"/>
    </row>
    <row r="10" spans="2:15" ht="13.5" customHeight="1" thickTop="1" x14ac:dyDescent="0.25">
      <c r="B10" s="47"/>
      <c r="C10" s="144"/>
      <c r="D10" s="144"/>
      <c r="E10" s="144"/>
      <c r="F10" s="144"/>
      <c r="G10" s="144"/>
      <c r="H10" s="144"/>
      <c r="I10" s="144"/>
      <c r="J10" s="144"/>
      <c r="K10" s="144"/>
      <c r="L10" s="144"/>
      <c r="M10" s="144"/>
      <c r="N10" s="142"/>
      <c r="O10" s="2"/>
    </row>
    <row r="11" spans="2:15" ht="13.5" customHeight="1" x14ac:dyDescent="0.25">
      <c r="B11" s="49" t="s">
        <v>64</v>
      </c>
      <c r="C11" s="145"/>
      <c r="D11" s="145"/>
      <c r="E11" s="145"/>
      <c r="F11" s="145"/>
      <c r="G11" s="145"/>
      <c r="H11" s="145"/>
      <c r="I11" s="145"/>
      <c r="J11" s="145"/>
      <c r="K11" s="145"/>
      <c r="L11" s="145"/>
      <c r="M11" s="145"/>
      <c r="N11" s="145"/>
      <c r="O11" s="2"/>
    </row>
    <row r="12" spans="2:15" ht="13.5" customHeight="1" x14ac:dyDescent="0.25">
      <c r="B12" s="17" t="str">
        <f>CPP</f>
        <v>Critical Peak Pricing (CPP)</v>
      </c>
      <c r="C12" s="141">
        <v>0</v>
      </c>
      <c r="D12" s="141">
        <v>0</v>
      </c>
      <c r="E12" s="141">
        <v>0</v>
      </c>
      <c r="F12" s="141">
        <v>0</v>
      </c>
      <c r="G12" s="141">
        <v>0</v>
      </c>
      <c r="H12" s="141">
        <v>0</v>
      </c>
      <c r="I12" s="141"/>
      <c r="J12" s="141"/>
      <c r="K12" s="141"/>
      <c r="L12" s="141"/>
      <c r="M12" s="141"/>
      <c r="N12" s="142"/>
      <c r="O12" s="2"/>
    </row>
    <row r="13" spans="2:15" ht="13.5" customHeight="1" x14ac:dyDescent="0.25">
      <c r="B13" s="17" t="str">
        <f>RTP</f>
        <v>Real Time Pricing (RTP)</v>
      </c>
      <c r="C13" s="141">
        <v>0</v>
      </c>
      <c r="D13" s="141">
        <v>0</v>
      </c>
      <c r="E13" s="141">
        <v>0</v>
      </c>
      <c r="F13" s="141">
        <v>0</v>
      </c>
      <c r="G13" s="141">
        <v>0</v>
      </c>
      <c r="H13" s="141">
        <v>0</v>
      </c>
      <c r="I13" s="141"/>
      <c r="J13" s="141"/>
      <c r="K13" s="141"/>
      <c r="L13" s="141"/>
      <c r="M13" s="141"/>
      <c r="N13" s="142"/>
      <c r="O13" s="2"/>
    </row>
    <row r="14" spans="2:15" ht="13.5" customHeight="1" thickBot="1" x14ac:dyDescent="0.3">
      <c r="B14" s="48" t="s">
        <v>63</v>
      </c>
      <c r="C14" s="143">
        <f>SUM(C12:C13)</f>
        <v>0</v>
      </c>
      <c r="D14" s="143">
        <v>0</v>
      </c>
      <c r="E14" s="143">
        <v>0</v>
      </c>
      <c r="F14" s="143">
        <f t="shared" ref="F14:N14" si="1">SUM(F12:F13)</f>
        <v>0</v>
      </c>
      <c r="G14" s="143">
        <f t="shared" si="1"/>
        <v>0</v>
      </c>
      <c r="H14" s="143">
        <f t="shared" si="1"/>
        <v>0</v>
      </c>
      <c r="I14" s="143">
        <f t="shared" si="1"/>
        <v>0</v>
      </c>
      <c r="J14" s="143">
        <f t="shared" si="1"/>
        <v>0</v>
      </c>
      <c r="K14" s="143">
        <f t="shared" si="1"/>
        <v>0</v>
      </c>
      <c r="L14" s="143">
        <f t="shared" si="1"/>
        <v>0</v>
      </c>
      <c r="M14" s="143">
        <f t="shared" si="1"/>
        <v>0</v>
      </c>
      <c r="N14" s="143">
        <f t="shared" si="1"/>
        <v>0</v>
      </c>
      <c r="O14" s="2"/>
    </row>
    <row r="15" spans="2:15" ht="13.5" customHeight="1" thickTop="1" x14ac:dyDescent="0.25">
      <c r="B15" s="2"/>
      <c r="C15" s="144"/>
      <c r="D15" s="144"/>
      <c r="E15" s="144"/>
      <c r="F15" s="144"/>
      <c r="G15" s="144"/>
      <c r="H15" s="144"/>
      <c r="I15" s="144"/>
      <c r="J15" s="144"/>
      <c r="K15" s="144"/>
      <c r="L15" s="144"/>
      <c r="M15" s="144"/>
      <c r="N15" s="144"/>
      <c r="O15" s="2"/>
    </row>
    <row r="16" spans="2:15" ht="13.5" customHeight="1" x14ac:dyDescent="0.25">
      <c r="B16" s="50" t="s">
        <v>81</v>
      </c>
      <c r="C16" s="145"/>
      <c r="D16" s="145"/>
      <c r="E16" s="145"/>
      <c r="F16" s="145"/>
      <c r="G16" s="145"/>
      <c r="H16" s="145"/>
      <c r="I16" s="145"/>
      <c r="J16" s="145"/>
      <c r="K16" s="145"/>
      <c r="L16" s="145"/>
      <c r="M16" s="145"/>
      <c r="N16" s="145"/>
      <c r="O16" s="2"/>
    </row>
    <row r="17" spans="2:15" ht="13.5" customHeight="1" x14ac:dyDescent="0.25">
      <c r="B17" s="17" t="str">
        <f>DRAM</f>
        <v>Demand Response Auction Mechanism (DRAM)</v>
      </c>
      <c r="C17" s="141">
        <v>0</v>
      </c>
      <c r="D17" s="146">
        <v>0</v>
      </c>
      <c r="E17" s="146">
        <v>0</v>
      </c>
      <c r="F17" s="141">
        <v>0</v>
      </c>
      <c r="G17" s="146">
        <v>0</v>
      </c>
      <c r="H17" s="141">
        <v>0</v>
      </c>
      <c r="I17" s="146"/>
      <c r="J17" s="146"/>
      <c r="K17" s="146"/>
      <c r="L17" s="146"/>
      <c r="M17" s="146"/>
      <c r="N17" s="146"/>
      <c r="O17" s="2"/>
    </row>
    <row r="18" spans="2:15" ht="13.5" customHeight="1" thickBot="1" x14ac:dyDescent="0.3">
      <c r="B18" s="48" t="s">
        <v>63</v>
      </c>
      <c r="C18" s="143">
        <f>SUM(C17)</f>
        <v>0</v>
      </c>
      <c r="D18" s="143">
        <v>0</v>
      </c>
      <c r="E18" s="143">
        <v>0</v>
      </c>
      <c r="F18" s="143">
        <f t="shared" ref="F18:N18" si="2">SUM(F17)</f>
        <v>0</v>
      </c>
      <c r="G18" s="143">
        <f t="shared" si="2"/>
        <v>0</v>
      </c>
      <c r="H18" s="143">
        <f t="shared" si="2"/>
        <v>0</v>
      </c>
      <c r="I18" s="143">
        <f t="shared" si="2"/>
        <v>0</v>
      </c>
      <c r="J18" s="143">
        <f t="shared" si="2"/>
        <v>0</v>
      </c>
      <c r="K18" s="143">
        <f t="shared" si="2"/>
        <v>0</v>
      </c>
      <c r="L18" s="143">
        <f t="shared" si="2"/>
        <v>0</v>
      </c>
      <c r="M18" s="143">
        <f t="shared" si="2"/>
        <v>0</v>
      </c>
      <c r="N18" s="143">
        <f t="shared" si="2"/>
        <v>0</v>
      </c>
      <c r="O18" s="2"/>
    </row>
    <row r="19" spans="2:15" ht="13.5" customHeight="1" thickTop="1" x14ac:dyDescent="0.25">
      <c r="B19" s="2"/>
      <c r="C19" s="144"/>
      <c r="D19" s="144"/>
      <c r="E19" s="144"/>
      <c r="F19" s="144"/>
      <c r="G19" s="144"/>
      <c r="H19" s="144"/>
      <c r="I19" s="144"/>
      <c r="J19" s="144"/>
      <c r="K19" s="144"/>
      <c r="L19" s="144"/>
      <c r="M19" s="144"/>
      <c r="N19" s="144"/>
      <c r="O19" s="2"/>
    </row>
    <row r="20" spans="2:15" ht="13.5" customHeight="1" x14ac:dyDescent="0.25">
      <c r="B20" s="51" t="s">
        <v>82</v>
      </c>
      <c r="C20" s="147"/>
      <c r="D20" s="147"/>
      <c r="E20" s="147"/>
      <c r="F20" s="147"/>
      <c r="G20" s="147"/>
      <c r="H20" s="147"/>
      <c r="I20" s="147"/>
      <c r="J20" s="147"/>
      <c r="K20" s="147"/>
      <c r="L20" s="147"/>
      <c r="M20" s="147"/>
      <c r="N20" s="148"/>
      <c r="O20" s="2"/>
    </row>
    <row r="21" spans="2:15" ht="13.5" customHeight="1" x14ac:dyDescent="0.25">
      <c r="B21" s="34" t="s">
        <v>83</v>
      </c>
      <c r="C21" s="141">
        <v>0</v>
      </c>
      <c r="D21" s="146">
        <v>0</v>
      </c>
      <c r="E21" s="146">
        <v>0</v>
      </c>
      <c r="F21" s="141">
        <v>0</v>
      </c>
      <c r="G21" s="146">
        <v>0</v>
      </c>
      <c r="H21" s="141">
        <v>0</v>
      </c>
      <c r="I21" s="146"/>
      <c r="J21" s="146"/>
      <c r="K21" s="146"/>
      <c r="L21" s="146"/>
      <c r="M21" s="146"/>
      <c r="N21" s="149"/>
      <c r="O21" s="2"/>
    </row>
    <row r="22" spans="2:15" ht="13.5" customHeight="1" thickBot="1" x14ac:dyDescent="0.3">
      <c r="B22" s="48" t="s">
        <v>63</v>
      </c>
      <c r="C22" s="143">
        <f>SUM(C21)</f>
        <v>0</v>
      </c>
      <c r="D22" s="143">
        <v>0</v>
      </c>
      <c r="E22" s="143">
        <v>0</v>
      </c>
      <c r="F22" s="143">
        <f t="shared" ref="F22:N22" si="3">SUM(F21)</f>
        <v>0</v>
      </c>
      <c r="G22" s="143">
        <f t="shared" si="3"/>
        <v>0</v>
      </c>
      <c r="H22" s="143">
        <f t="shared" si="3"/>
        <v>0</v>
      </c>
      <c r="I22" s="143">
        <f t="shared" si="3"/>
        <v>0</v>
      </c>
      <c r="J22" s="143">
        <f t="shared" si="3"/>
        <v>0</v>
      </c>
      <c r="K22" s="143">
        <f t="shared" si="3"/>
        <v>0</v>
      </c>
      <c r="L22" s="143">
        <f t="shared" si="3"/>
        <v>0</v>
      </c>
      <c r="M22" s="143">
        <f t="shared" si="3"/>
        <v>0</v>
      </c>
      <c r="N22" s="143">
        <f t="shared" si="3"/>
        <v>0</v>
      </c>
      <c r="O22" s="2"/>
    </row>
    <row r="23" spans="2:15" ht="13.5" customHeight="1" thickTop="1" thickBot="1" x14ac:dyDescent="0.3">
      <c r="B23" s="125"/>
      <c r="C23" s="197"/>
      <c r="D23" s="198"/>
      <c r="E23" s="198"/>
      <c r="F23" s="197"/>
      <c r="G23" s="197"/>
      <c r="H23" s="197"/>
      <c r="I23" s="197"/>
      <c r="J23" s="197"/>
      <c r="K23" s="197"/>
      <c r="L23" s="197"/>
      <c r="M23" s="197"/>
      <c r="N23" s="129"/>
      <c r="O23" s="2"/>
    </row>
    <row r="24" spans="2:15" ht="13.5" customHeight="1" thickTop="1" thickBot="1" x14ac:dyDescent="0.3">
      <c r="B24" s="53" t="s">
        <v>84</v>
      </c>
      <c r="C24" s="150">
        <f>SUM(C9+C14+C18+C22)</f>
        <v>0</v>
      </c>
      <c r="D24" s="150">
        <f t="shared" ref="D24:N24" si="4">SUM(D9+D14+D18+D22)</f>
        <v>0</v>
      </c>
      <c r="E24" s="150">
        <f t="shared" si="4"/>
        <v>0</v>
      </c>
      <c r="F24" s="150">
        <f t="shared" si="4"/>
        <v>0</v>
      </c>
      <c r="G24" s="150">
        <f t="shared" si="4"/>
        <v>0</v>
      </c>
      <c r="H24" s="150">
        <f t="shared" si="4"/>
        <v>0</v>
      </c>
      <c r="I24" s="150">
        <f t="shared" si="4"/>
        <v>0</v>
      </c>
      <c r="J24" s="150">
        <f t="shared" si="4"/>
        <v>0</v>
      </c>
      <c r="K24" s="150">
        <f t="shared" si="4"/>
        <v>0</v>
      </c>
      <c r="L24" s="150">
        <f t="shared" si="4"/>
        <v>0</v>
      </c>
      <c r="M24" s="150">
        <f t="shared" si="4"/>
        <v>0</v>
      </c>
      <c r="N24" s="150">
        <f t="shared" si="4"/>
        <v>0</v>
      </c>
      <c r="O24" s="2"/>
    </row>
    <row r="25" spans="2:15" ht="15.75" thickTop="1" x14ac:dyDescent="0.25">
      <c r="B25" s="2"/>
      <c r="C25" s="2"/>
      <c r="D25" s="2"/>
      <c r="E25" s="2"/>
      <c r="F25" s="2"/>
      <c r="G25" s="2"/>
      <c r="H25" s="2"/>
      <c r="I25" s="2"/>
      <c r="J25" s="2"/>
      <c r="K25" s="2"/>
      <c r="L25" s="2"/>
      <c r="M25" s="2"/>
      <c r="N25" s="2"/>
      <c r="O25" s="2"/>
    </row>
    <row r="26" spans="2:15" x14ac:dyDescent="0.25">
      <c r="B26" s="2"/>
      <c r="C26" s="2"/>
      <c r="D26" s="2"/>
      <c r="E26" s="2"/>
      <c r="F26" s="2"/>
      <c r="G26" s="2"/>
      <c r="H26" s="2"/>
      <c r="I26" s="2"/>
      <c r="J26" s="2"/>
      <c r="K26" s="2"/>
      <c r="L26" s="2"/>
      <c r="M26" s="2"/>
      <c r="N26" s="2"/>
      <c r="O26" s="2"/>
    </row>
    <row r="27" spans="2:15" x14ac:dyDescent="0.25">
      <c r="B27" s="2" t="s">
        <v>72</v>
      </c>
      <c r="C27" s="1"/>
      <c r="D27" s="2"/>
      <c r="E27" s="2"/>
      <c r="F27" s="2"/>
      <c r="G27" s="2"/>
      <c r="H27" s="2"/>
      <c r="I27" s="2"/>
      <c r="J27" s="2"/>
      <c r="K27" s="2"/>
      <c r="L27" s="2"/>
      <c r="M27" s="2"/>
      <c r="N27" s="2"/>
      <c r="O27" s="2"/>
    </row>
    <row r="28" spans="2:15" x14ac:dyDescent="0.25">
      <c r="B28" s="162" t="s">
        <v>221</v>
      </c>
      <c r="C28" s="1"/>
      <c r="D28" s="2"/>
      <c r="E28" s="2"/>
      <c r="F28" s="2"/>
      <c r="G28" s="2"/>
      <c r="H28" s="2"/>
      <c r="I28" s="2"/>
      <c r="J28" s="2"/>
      <c r="K28" s="2"/>
      <c r="L28" s="2"/>
      <c r="M28" s="2"/>
      <c r="N28" s="2"/>
      <c r="O28" s="2"/>
    </row>
    <row r="29" spans="2:15" x14ac:dyDescent="0.25">
      <c r="B29" s="163" t="s">
        <v>217</v>
      </c>
      <c r="C29" s="2"/>
      <c r="D29" s="2"/>
      <c r="E29" s="2"/>
      <c r="F29" s="2"/>
      <c r="G29" s="2"/>
      <c r="H29" s="2"/>
      <c r="I29" s="2"/>
      <c r="J29" s="2"/>
      <c r="K29" s="2"/>
      <c r="L29" s="2"/>
      <c r="M29" s="2"/>
      <c r="N29" s="2"/>
      <c r="O29" s="2"/>
    </row>
    <row r="30" spans="2:15" x14ac:dyDescent="0.25">
      <c r="B30" s="163" t="s">
        <v>218</v>
      </c>
      <c r="C30" s="2"/>
      <c r="D30" s="2"/>
      <c r="E30" s="2"/>
      <c r="F30" s="2"/>
      <c r="G30" s="2"/>
      <c r="H30" s="2"/>
      <c r="I30" s="2"/>
      <c r="J30" s="2"/>
      <c r="K30" s="2"/>
      <c r="L30" s="2"/>
      <c r="M30" s="2"/>
      <c r="N30" s="2"/>
      <c r="O30" s="2"/>
    </row>
    <row r="31" spans="2:15" x14ac:dyDescent="0.25">
      <c r="B31" s="163" t="s">
        <v>219</v>
      </c>
      <c r="C31" s="1"/>
      <c r="D31" s="2"/>
      <c r="E31" s="2"/>
      <c r="F31" s="2"/>
      <c r="G31" s="2"/>
      <c r="H31" s="2"/>
      <c r="I31" s="2"/>
      <c r="J31" s="2"/>
      <c r="K31" s="2"/>
      <c r="L31" s="2"/>
      <c r="M31" s="2"/>
      <c r="N31" s="2"/>
      <c r="O31" s="2"/>
    </row>
    <row r="32" spans="2:15" x14ac:dyDescent="0.25">
      <c r="B32" s="163" t="s">
        <v>220</v>
      </c>
      <c r="C32" s="2"/>
      <c r="D32" s="2"/>
      <c r="E32" s="2"/>
      <c r="F32" s="2"/>
      <c r="G32" s="2"/>
      <c r="H32" s="2"/>
      <c r="I32" s="2"/>
      <c r="J32" s="2"/>
      <c r="K32" s="2"/>
      <c r="L32" s="2"/>
      <c r="M32" s="2"/>
      <c r="N32" s="2"/>
      <c r="O32" s="2"/>
    </row>
    <row r="33" spans="2:15" x14ac:dyDescent="0.25">
      <c r="B33" s="2"/>
      <c r="C33" s="2"/>
      <c r="D33" s="2"/>
      <c r="E33" s="2"/>
      <c r="F33" s="2"/>
      <c r="G33" s="2"/>
      <c r="H33" s="2"/>
      <c r="I33" s="2"/>
      <c r="J33" s="2"/>
      <c r="K33" s="2"/>
      <c r="L33" s="2"/>
      <c r="M33" s="2"/>
      <c r="N33" s="2"/>
      <c r="O33" s="2"/>
    </row>
    <row r="34" spans="2:15" x14ac:dyDescent="0.25">
      <c r="B34" s="2"/>
      <c r="C34" s="1"/>
      <c r="D34" s="2"/>
      <c r="E34" s="2"/>
      <c r="F34" s="2"/>
      <c r="G34" s="2"/>
      <c r="H34" s="2"/>
      <c r="I34" s="2"/>
      <c r="J34" s="2"/>
      <c r="K34" s="2"/>
      <c r="L34" s="2"/>
      <c r="M34" s="2"/>
      <c r="N34" s="2"/>
      <c r="O34" s="2"/>
    </row>
    <row r="35" spans="2:15" x14ac:dyDescent="0.25">
      <c r="B35" s="2"/>
      <c r="C35" s="1"/>
      <c r="D35" s="2"/>
      <c r="E35" s="2"/>
      <c r="F35" s="2"/>
      <c r="G35" s="2"/>
      <c r="H35" s="2"/>
      <c r="I35" s="2"/>
      <c r="J35" s="2"/>
      <c r="K35" s="2"/>
      <c r="L35" s="2"/>
      <c r="M35" s="2"/>
      <c r="N35" s="2"/>
      <c r="O35" s="2"/>
    </row>
  </sheetData>
  <mergeCells count="1">
    <mergeCell ref="B1:N1"/>
  </mergeCells>
  <pageMargins left="0.7" right="0.7" top="0.75" bottom="0.75" header="0.3" footer="0.3"/>
  <pageSetup paperSize="5" scale="83" orientation="landscape" r:id="rId1"/>
  <headerFooter>
    <oddFooter>&amp;L&amp;F&amp;C&amp;K000000Public&amp;RA-&amp;P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8EC1-E525-448E-B4B5-982FB02082B2}">
  <sheetPr>
    <pageSetUpPr fitToPage="1"/>
  </sheetPr>
  <dimension ref="B1:O35"/>
  <sheetViews>
    <sheetView showGridLines="0" view="pageBreakPreview" topLeftCell="B4" zoomScale="60" zoomScaleNormal="90" workbookViewId="0">
      <selection activeCell="D22" sqref="D22:U23"/>
    </sheetView>
  </sheetViews>
  <sheetFormatPr defaultRowHeight="15" x14ac:dyDescent="0.25"/>
  <cols>
    <col min="1" max="1" width="1.7109375" customWidth="1"/>
    <col min="2" max="2" width="65.42578125" customWidth="1"/>
    <col min="3" max="14" width="10.42578125" customWidth="1"/>
  </cols>
  <sheetData>
    <row r="1" spans="2:15" ht="59.25" customHeight="1" x14ac:dyDescent="0.25">
      <c r="B1" s="229" t="s">
        <v>78</v>
      </c>
      <c r="C1" s="230"/>
      <c r="D1" s="230"/>
      <c r="E1" s="230"/>
      <c r="F1" s="230"/>
      <c r="G1" s="230"/>
      <c r="H1" s="230"/>
      <c r="I1" s="230"/>
      <c r="J1" s="230"/>
      <c r="K1" s="230"/>
      <c r="L1" s="230"/>
      <c r="M1" s="230"/>
      <c r="N1" s="230"/>
      <c r="O1" s="2"/>
    </row>
    <row r="2" spans="2:15" ht="13.5" customHeight="1" x14ac:dyDescent="0.25">
      <c r="B2" s="2" t="s">
        <v>51</v>
      </c>
      <c r="C2" s="2"/>
      <c r="D2" s="2"/>
      <c r="E2" s="2"/>
      <c r="F2" s="2"/>
      <c r="G2" s="2"/>
      <c r="H2" s="2"/>
      <c r="I2" s="2"/>
      <c r="J2" s="2"/>
      <c r="K2" s="2"/>
      <c r="L2" s="2"/>
      <c r="M2" s="2"/>
      <c r="N2" s="2"/>
      <c r="O2" s="2"/>
    </row>
    <row r="3" spans="2:15" ht="13.5" customHeight="1" x14ac:dyDescent="0.25">
      <c r="B3" s="2" t="s">
        <v>79</v>
      </c>
      <c r="C3" s="2"/>
      <c r="D3" s="2"/>
      <c r="E3" s="2"/>
      <c r="F3" s="2"/>
      <c r="G3" s="2"/>
      <c r="H3" s="2"/>
      <c r="I3" s="2"/>
      <c r="J3" s="2"/>
      <c r="K3" s="2"/>
      <c r="L3" s="2"/>
      <c r="M3" s="2"/>
      <c r="N3" s="2"/>
      <c r="O3" s="2"/>
    </row>
    <row r="4" spans="2:15" ht="18.75" customHeight="1" x14ac:dyDescent="0.25">
      <c r="B4" s="2"/>
      <c r="C4" s="2"/>
      <c r="D4" s="2"/>
      <c r="E4" s="2"/>
      <c r="F4" s="2"/>
      <c r="G4" s="2"/>
      <c r="H4" s="2"/>
      <c r="I4" s="2"/>
      <c r="J4" s="2"/>
      <c r="K4" s="2"/>
      <c r="L4" s="2"/>
      <c r="M4" s="2"/>
      <c r="N4" s="2"/>
      <c r="O4" s="2"/>
    </row>
    <row r="5" spans="2:15" ht="21" customHeight="1" x14ac:dyDescent="0.25">
      <c r="B5" s="2"/>
      <c r="C5" s="54" t="s">
        <v>53</v>
      </c>
      <c r="D5" s="54" t="s">
        <v>54</v>
      </c>
      <c r="E5" s="54" t="s">
        <v>55</v>
      </c>
      <c r="F5" s="54" t="s">
        <v>56</v>
      </c>
      <c r="G5" s="54" t="s">
        <v>57</v>
      </c>
      <c r="H5" s="54" t="s">
        <v>58</v>
      </c>
      <c r="I5" s="54" t="s">
        <v>66</v>
      </c>
      <c r="J5" s="54" t="s">
        <v>67</v>
      </c>
      <c r="K5" s="54" t="s">
        <v>68</v>
      </c>
      <c r="L5" s="54" t="s">
        <v>69</v>
      </c>
      <c r="M5" s="54" t="s">
        <v>70</v>
      </c>
      <c r="N5" s="54" t="s">
        <v>71</v>
      </c>
      <c r="O5" s="2"/>
    </row>
    <row r="6" spans="2:15" ht="39" x14ac:dyDescent="0.25">
      <c r="B6" s="2"/>
      <c r="C6" s="19" t="s">
        <v>80</v>
      </c>
      <c r="D6" s="19" t="s">
        <v>80</v>
      </c>
      <c r="E6" s="19" t="s">
        <v>80</v>
      </c>
      <c r="F6" s="19" t="s">
        <v>80</v>
      </c>
      <c r="G6" s="19" t="s">
        <v>80</v>
      </c>
      <c r="H6" s="19" t="s">
        <v>80</v>
      </c>
      <c r="I6" s="19" t="s">
        <v>80</v>
      </c>
      <c r="J6" s="19" t="s">
        <v>80</v>
      </c>
      <c r="K6" s="19" t="s">
        <v>80</v>
      </c>
      <c r="L6" s="19" t="s">
        <v>80</v>
      </c>
      <c r="M6" s="19" t="s">
        <v>80</v>
      </c>
      <c r="N6" s="19" t="s">
        <v>80</v>
      </c>
      <c r="O6" s="2"/>
    </row>
    <row r="7" spans="2:15" ht="13.5" customHeight="1" x14ac:dyDescent="0.25">
      <c r="B7" s="16" t="s">
        <v>62</v>
      </c>
      <c r="C7" s="16"/>
      <c r="D7" s="16"/>
      <c r="E7" s="16"/>
      <c r="F7" s="16"/>
      <c r="G7" s="16"/>
      <c r="H7" s="16"/>
      <c r="I7" s="16"/>
      <c r="J7" s="16"/>
      <c r="K7" s="16"/>
      <c r="L7" s="16"/>
      <c r="M7" s="16"/>
      <c r="N7" s="45"/>
      <c r="O7" s="2"/>
    </row>
    <row r="8" spans="2:15" ht="13.5" customHeight="1" x14ac:dyDescent="0.25">
      <c r="B8" s="39" t="str">
        <f>CBPG</f>
        <v>Capacity Bidding Program (CBP)</v>
      </c>
      <c r="C8" s="141">
        <v>4.2</v>
      </c>
      <c r="D8" s="141">
        <v>4.0599999999999996</v>
      </c>
      <c r="E8" s="141">
        <v>3.29</v>
      </c>
      <c r="F8" s="141">
        <v>3.01</v>
      </c>
      <c r="G8" s="141">
        <v>3.0105423666666669</v>
      </c>
      <c r="H8" s="141">
        <v>3.4190083666666671</v>
      </c>
      <c r="I8" s="141"/>
      <c r="J8" s="141"/>
      <c r="K8" s="141"/>
      <c r="L8" s="141"/>
      <c r="M8" s="141"/>
      <c r="N8" s="142"/>
      <c r="O8" s="2"/>
    </row>
    <row r="9" spans="2:15" ht="13.5" customHeight="1" thickBot="1" x14ac:dyDescent="0.3">
      <c r="B9" s="48" t="s">
        <v>63</v>
      </c>
      <c r="C9" s="143">
        <f>SUM(C8)</f>
        <v>4.2</v>
      </c>
      <c r="D9" s="143">
        <v>4.0599999999999996</v>
      </c>
      <c r="E9" s="143">
        <v>3.29</v>
      </c>
      <c r="F9" s="143">
        <f t="shared" ref="F9:N9" si="0">SUM(F8)</f>
        <v>3.01</v>
      </c>
      <c r="G9" s="143">
        <f t="shared" si="0"/>
        <v>3.0105423666666669</v>
      </c>
      <c r="H9" s="143">
        <f t="shared" si="0"/>
        <v>3.4190083666666671</v>
      </c>
      <c r="I9" s="143">
        <f t="shared" si="0"/>
        <v>0</v>
      </c>
      <c r="J9" s="143">
        <f t="shared" si="0"/>
        <v>0</v>
      </c>
      <c r="K9" s="143">
        <f t="shared" si="0"/>
        <v>0</v>
      </c>
      <c r="L9" s="143">
        <f t="shared" si="0"/>
        <v>0</v>
      </c>
      <c r="M9" s="143">
        <f t="shared" si="0"/>
        <v>0</v>
      </c>
      <c r="N9" s="143">
        <f t="shared" si="0"/>
        <v>0</v>
      </c>
      <c r="O9" s="2"/>
    </row>
    <row r="10" spans="2:15" ht="13.5" customHeight="1" thickTop="1" x14ac:dyDescent="0.25">
      <c r="B10" s="47"/>
      <c r="C10" s="144"/>
      <c r="D10" s="144"/>
      <c r="E10" s="144"/>
      <c r="F10" s="144"/>
      <c r="G10" s="144"/>
      <c r="H10" s="144"/>
      <c r="I10" s="144"/>
      <c r="J10" s="144"/>
      <c r="K10" s="144"/>
      <c r="L10" s="144"/>
      <c r="M10" s="144"/>
      <c r="N10" s="142"/>
      <c r="O10" s="2"/>
    </row>
    <row r="11" spans="2:15" ht="13.5" customHeight="1" x14ac:dyDescent="0.25">
      <c r="B11" s="49" t="s">
        <v>64</v>
      </c>
      <c r="C11" s="145"/>
      <c r="D11" s="145"/>
      <c r="E11" s="145"/>
      <c r="F11" s="145"/>
      <c r="G11" s="145"/>
      <c r="H11" s="145"/>
      <c r="I11" s="145"/>
      <c r="J11" s="145"/>
      <c r="K11" s="145"/>
      <c r="L11" s="145"/>
      <c r="M11" s="145"/>
      <c r="N11" s="145"/>
      <c r="O11" s="2"/>
    </row>
    <row r="12" spans="2:15" ht="13.5" customHeight="1" x14ac:dyDescent="0.25">
      <c r="B12" s="17" t="str">
        <f>CPP</f>
        <v>Critical Peak Pricing (CPP)</v>
      </c>
      <c r="C12" s="141">
        <v>4.0599999999999996</v>
      </c>
      <c r="D12" s="141">
        <v>3.89</v>
      </c>
      <c r="E12" s="141">
        <v>3.04</v>
      </c>
      <c r="F12" s="141">
        <v>2.95</v>
      </c>
      <c r="G12" s="141">
        <v>2.9471551922077928</v>
      </c>
      <c r="H12" s="141">
        <v>2.9471551922077928</v>
      </c>
      <c r="I12" s="141"/>
      <c r="J12" s="141"/>
      <c r="K12" s="141"/>
      <c r="L12" s="141"/>
      <c r="M12" s="141"/>
      <c r="N12" s="142"/>
      <c r="O12" s="2"/>
    </row>
    <row r="13" spans="2:15" ht="13.5" customHeight="1" x14ac:dyDescent="0.25">
      <c r="B13" s="17" t="str">
        <f>RTP</f>
        <v>Real Time Pricing (RTP)</v>
      </c>
      <c r="C13" s="141">
        <v>7.69</v>
      </c>
      <c r="D13" s="141">
        <v>8.2200000000000006</v>
      </c>
      <c r="E13" s="141">
        <v>8.2200000000000006</v>
      </c>
      <c r="F13" s="141">
        <v>8.2200000000000006</v>
      </c>
      <c r="G13" s="141">
        <v>7.6881803000000009</v>
      </c>
      <c r="H13" s="141">
        <v>7.6881803000000009</v>
      </c>
      <c r="I13" s="141"/>
      <c r="J13" s="141"/>
      <c r="K13" s="141"/>
      <c r="L13" s="141"/>
      <c r="M13" s="141"/>
      <c r="N13" s="142"/>
      <c r="O13" s="2"/>
    </row>
    <row r="14" spans="2:15" ht="13.5" customHeight="1" thickBot="1" x14ac:dyDescent="0.3">
      <c r="B14" s="48" t="s">
        <v>63</v>
      </c>
      <c r="C14" s="143">
        <f>SUM(C12:C13)</f>
        <v>11.75</v>
      </c>
      <c r="D14" s="143">
        <v>12.110000000000001</v>
      </c>
      <c r="E14" s="143">
        <v>11.260000000000002</v>
      </c>
      <c r="F14" s="143">
        <f t="shared" ref="F14:N14" si="1">SUM(F12:F13)</f>
        <v>11.170000000000002</v>
      </c>
      <c r="G14" s="143">
        <f t="shared" si="1"/>
        <v>10.635335492207794</v>
      </c>
      <c r="H14" s="143">
        <f t="shared" si="1"/>
        <v>10.635335492207794</v>
      </c>
      <c r="I14" s="143">
        <f t="shared" si="1"/>
        <v>0</v>
      </c>
      <c r="J14" s="143">
        <f t="shared" si="1"/>
        <v>0</v>
      </c>
      <c r="K14" s="143">
        <f t="shared" si="1"/>
        <v>0</v>
      </c>
      <c r="L14" s="143">
        <f t="shared" si="1"/>
        <v>0</v>
      </c>
      <c r="M14" s="143">
        <f t="shared" si="1"/>
        <v>0</v>
      </c>
      <c r="N14" s="143">
        <f t="shared" si="1"/>
        <v>0</v>
      </c>
      <c r="O14" s="2"/>
    </row>
    <row r="15" spans="2:15" ht="13.5" customHeight="1" thickTop="1" x14ac:dyDescent="0.25">
      <c r="B15" s="2"/>
      <c r="C15" s="144"/>
      <c r="D15" s="144"/>
      <c r="E15" s="144"/>
      <c r="F15" s="144"/>
      <c r="G15" s="144"/>
      <c r="H15" s="144"/>
      <c r="I15" s="144"/>
      <c r="J15" s="144"/>
      <c r="K15" s="144"/>
      <c r="L15" s="144"/>
      <c r="M15" s="144"/>
      <c r="N15" s="144"/>
      <c r="O15" s="2"/>
    </row>
    <row r="16" spans="2:15" ht="27" customHeight="1" x14ac:dyDescent="0.25">
      <c r="B16" s="50" t="s">
        <v>81</v>
      </c>
      <c r="C16" s="145"/>
      <c r="D16" s="145"/>
      <c r="E16" s="145"/>
      <c r="F16" s="145"/>
      <c r="G16" s="145"/>
      <c r="H16" s="145"/>
      <c r="I16" s="145"/>
      <c r="J16" s="145"/>
      <c r="K16" s="145"/>
      <c r="L16" s="145"/>
      <c r="M16" s="145"/>
      <c r="N16" s="145"/>
      <c r="O16" s="2"/>
    </row>
    <row r="17" spans="2:15" ht="13.5" customHeight="1" x14ac:dyDescent="0.25">
      <c r="B17" s="17" t="str">
        <f>DRAM</f>
        <v>Demand Response Auction Mechanism (DRAM)</v>
      </c>
      <c r="C17" s="141">
        <v>7.33</v>
      </c>
      <c r="D17" s="146">
        <v>7.47</v>
      </c>
      <c r="E17" s="146">
        <v>7.59</v>
      </c>
      <c r="F17" s="141">
        <v>6.82</v>
      </c>
      <c r="G17" s="146">
        <v>7.0264780088754222</v>
      </c>
      <c r="H17" s="141">
        <v>5.0251630088754125</v>
      </c>
      <c r="I17" s="146"/>
      <c r="J17" s="146"/>
      <c r="K17" s="146"/>
      <c r="L17" s="146"/>
      <c r="M17" s="146"/>
      <c r="N17" s="146"/>
      <c r="O17" s="2"/>
    </row>
    <row r="18" spans="2:15" ht="13.5" customHeight="1" thickBot="1" x14ac:dyDescent="0.3">
      <c r="B18" s="48" t="s">
        <v>63</v>
      </c>
      <c r="C18" s="143">
        <f>SUM(C17)</f>
        <v>7.33</v>
      </c>
      <c r="D18" s="143">
        <v>7.47</v>
      </c>
      <c r="E18" s="143">
        <v>7.59</v>
      </c>
      <c r="F18" s="143">
        <f t="shared" ref="F18:N18" si="2">SUM(F17)</f>
        <v>6.82</v>
      </c>
      <c r="G18" s="143">
        <f t="shared" si="2"/>
        <v>7.0264780088754222</v>
      </c>
      <c r="H18" s="143">
        <f t="shared" si="2"/>
        <v>5.0251630088754125</v>
      </c>
      <c r="I18" s="143">
        <f t="shared" si="2"/>
        <v>0</v>
      </c>
      <c r="J18" s="143">
        <f t="shared" si="2"/>
        <v>0</v>
      </c>
      <c r="K18" s="143">
        <f t="shared" si="2"/>
        <v>0</v>
      </c>
      <c r="L18" s="143">
        <f t="shared" si="2"/>
        <v>0</v>
      </c>
      <c r="M18" s="143">
        <f t="shared" si="2"/>
        <v>0</v>
      </c>
      <c r="N18" s="143">
        <f t="shared" si="2"/>
        <v>0</v>
      </c>
      <c r="O18" s="2"/>
    </row>
    <row r="19" spans="2:15" ht="13.5" customHeight="1" thickTop="1" x14ac:dyDescent="0.25">
      <c r="B19" s="2"/>
      <c r="C19" s="144"/>
      <c r="D19" s="144"/>
      <c r="E19" s="144"/>
      <c r="F19" s="144"/>
      <c r="G19" s="144"/>
      <c r="H19" s="144"/>
      <c r="I19" s="144"/>
      <c r="J19" s="144"/>
      <c r="K19" s="144"/>
      <c r="L19" s="144"/>
      <c r="M19" s="144"/>
      <c r="N19" s="144"/>
      <c r="O19" s="2"/>
    </row>
    <row r="20" spans="2:15" ht="13.5" customHeight="1" x14ac:dyDescent="0.25">
      <c r="B20" s="51" t="s">
        <v>82</v>
      </c>
      <c r="C20" s="147"/>
      <c r="D20" s="147"/>
      <c r="E20" s="147"/>
      <c r="F20" s="147"/>
      <c r="G20" s="147"/>
      <c r="H20" s="147"/>
      <c r="I20" s="147"/>
      <c r="J20" s="147"/>
      <c r="K20" s="147"/>
      <c r="L20" s="147"/>
      <c r="M20" s="147"/>
      <c r="N20" s="148"/>
      <c r="O20" s="2"/>
    </row>
    <row r="21" spans="2:15" ht="13.5" customHeight="1" x14ac:dyDescent="0.25">
      <c r="B21" s="34" t="s">
        <v>83</v>
      </c>
      <c r="C21" s="141">
        <v>4.83</v>
      </c>
      <c r="D21" s="146">
        <v>4.7699999999999996</v>
      </c>
      <c r="E21" s="146">
        <v>6.27</v>
      </c>
      <c r="F21" s="141">
        <v>6.61</v>
      </c>
      <c r="G21" s="146">
        <v>5.7952755489977177</v>
      </c>
      <c r="H21" s="141">
        <v>5.1270095489977185</v>
      </c>
      <c r="I21" s="146"/>
      <c r="J21" s="146"/>
      <c r="K21" s="146"/>
      <c r="L21" s="146"/>
      <c r="M21" s="146"/>
      <c r="N21" s="149"/>
      <c r="O21" s="2"/>
    </row>
    <row r="22" spans="2:15" ht="13.5" customHeight="1" thickBot="1" x14ac:dyDescent="0.3">
      <c r="B22" s="48" t="s">
        <v>63</v>
      </c>
      <c r="C22" s="143">
        <f t="shared" ref="C22:N22" si="3">SUM(C21)</f>
        <v>4.83</v>
      </c>
      <c r="D22" s="143">
        <v>4.7699999999999996</v>
      </c>
      <c r="E22" s="143">
        <v>6.27</v>
      </c>
      <c r="F22" s="143">
        <f t="shared" si="3"/>
        <v>6.61</v>
      </c>
      <c r="G22" s="143">
        <f t="shared" si="3"/>
        <v>5.7952755489977177</v>
      </c>
      <c r="H22" s="143">
        <f t="shared" si="3"/>
        <v>5.1270095489977185</v>
      </c>
      <c r="I22" s="143">
        <f t="shared" si="3"/>
        <v>0</v>
      </c>
      <c r="J22" s="143">
        <f t="shared" si="3"/>
        <v>0</v>
      </c>
      <c r="K22" s="143">
        <f t="shared" si="3"/>
        <v>0</v>
      </c>
      <c r="L22" s="143">
        <f t="shared" si="3"/>
        <v>0</v>
      </c>
      <c r="M22" s="143">
        <f t="shared" si="3"/>
        <v>0</v>
      </c>
      <c r="N22" s="143">
        <f t="shared" si="3"/>
        <v>0</v>
      </c>
      <c r="O22" s="2"/>
    </row>
    <row r="23" spans="2:15" ht="13.5" customHeight="1" thickTop="1" thickBot="1" x14ac:dyDescent="0.3">
      <c r="B23" s="125"/>
      <c r="C23" s="197"/>
      <c r="D23" s="198"/>
      <c r="E23" s="198"/>
      <c r="F23" s="197"/>
      <c r="G23" s="197"/>
      <c r="H23" s="197"/>
      <c r="I23" s="197"/>
      <c r="J23" s="197"/>
      <c r="K23" s="197"/>
      <c r="L23" s="197"/>
      <c r="M23" s="197"/>
      <c r="N23" s="129"/>
      <c r="O23" s="2"/>
    </row>
    <row r="24" spans="2:15" ht="13.5" customHeight="1" thickTop="1" thickBot="1" x14ac:dyDescent="0.3">
      <c r="B24" s="53" t="s">
        <v>84</v>
      </c>
      <c r="C24" s="150">
        <f>SUM(C9+C14+C18+C22)</f>
        <v>28.11</v>
      </c>
      <c r="D24" s="150">
        <f t="shared" ref="D24:N24" si="4">SUM(D9+D14+D18+D22)</f>
        <v>28.41</v>
      </c>
      <c r="E24" s="150">
        <f t="shared" si="4"/>
        <v>28.41</v>
      </c>
      <c r="F24" s="150">
        <f t="shared" si="4"/>
        <v>27.61</v>
      </c>
      <c r="G24" s="150">
        <f t="shared" si="4"/>
        <v>26.467631416747601</v>
      </c>
      <c r="H24" s="150">
        <f t="shared" si="4"/>
        <v>24.206516416747593</v>
      </c>
      <c r="I24" s="150">
        <f t="shared" si="4"/>
        <v>0</v>
      </c>
      <c r="J24" s="150">
        <f t="shared" si="4"/>
        <v>0</v>
      </c>
      <c r="K24" s="150">
        <f t="shared" si="4"/>
        <v>0</v>
      </c>
      <c r="L24" s="150">
        <f t="shared" si="4"/>
        <v>0</v>
      </c>
      <c r="M24" s="150">
        <f t="shared" si="4"/>
        <v>0</v>
      </c>
      <c r="N24" s="150">
        <f t="shared" si="4"/>
        <v>0</v>
      </c>
      <c r="O24" s="2"/>
    </row>
    <row r="25" spans="2:15" ht="15.75" thickTop="1" x14ac:dyDescent="0.25">
      <c r="B25" s="2"/>
      <c r="C25" s="2"/>
      <c r="D25" s="2"/>
      <c r="E25" s="2"/>
      <c r="F25" s="2"/>
      <c r="G25" s="2"/>
      <c r="H25" s="2"/>
      <c r="I25" s="2"/>
      <c r="J25" s="2"/>
      <c r="K25" s="2"/>
      <c r="L25" s="2"/>
      <c r="M25" s="2"/>
      <c r="N25" s="2"/>
      <c r="O25" s="2"/>
    </row>
    <row r="26" spans="2:15" x14ac:dyDescent="0.25">
      <c r="B26" s="2"/>
      <c r="C26" s="2"/>
      <c r="D26" s="2"/>
      <c r="E26" s="2"/>
      <c r="F26" s="2"/>
      <c r="G26" s="2"/>
      <c r="H26" s="2"/>
      <c r="I26" s="2"/>
      <c r="J26" s="2"/>
      <c r="K26" s="2"/>
      <c r="L26" s="2"/>
      <c r="M26" s="2"/>
      <c r="N26" s="2"/>
      <c r="O26" s="2"/>
    </row>
    <row r="27" spans="2:15" x14ac:dyDescent="0.25">
      <c r="B27" s="2" t="s">
        <v>72</v>
      </c>
      <c r="C27" s="120"/>
      <c r="D27" s="121"/>
      <c r="E27" s="121"/>
      <c r="F27" s="2"/>
      <c r="G27" s="2"/>
      <c r="H27" s="2"/>
      <c r="I27" s="2"/>
      <c r="J27" s="2"/>
      <c r="K27" s="2"/>
      <c r="L27" s="2"/>
      <c r="M27" s="2"/>
      <c r="N27" s="2"/>
      <c r="O27" s="2"/>
    </row>
    <row r="28" spans="2:15" x14ac:dyDescent="0.25">
      <c r="B28" s="1" t="s">
        <v>222</v>
      </c>
      <c r="C28" s="1"/>
      <c r="D28" s="2"/>
      <c r="E28" s="2"/>
      <c r="F28" s="2"/>
      <c r="G28" s="2"/>
      <c r="H28" s="2"/>
      <c r="I28" s="2"/>
      <c r="J28" s="2"/>
      <c r="K28" s="2"/>
      <c r="L28" s="2"/>
      <c r="M28" s="2"/>
      <c r="N28" s="2"/>
      <c r="O28" s="2"/>
    </row>
    <row r="29" spans="2:15" x14ac:dyDescent="0.25">
      <c r="B29" s="164" t="s">
        <v>217</v>
      </c>
      <c r="C29" s="2"/>
      <c r="D29" s="2"/>
      <c r="E29" s="2"/>
      <c r="F29" s="2"/>
      <c r="G29" s="2"/>
      <c r="H29" s="2"/>
      <c r="I29" s="2"/>
      <c r="J29" s="2"/>
      <c r="K29" s="2"/>
      <c r="L29" s="2"/>
      <c r="M29" s="2"/>
      <c r="N29" s="2"/>
      <c r="O29" s="2"/>
    </row>
    <row r="30" spans="2:15" x14ac:dyDescent="0.25">
      <c r="B30" s="1" t="s">
        <v>218</v>
      </c>
      <c r="C30" s="2"/>
      <c r="D30" s="2"/>
      <c r="E30" s="2"/>
      <c r="F30" s="2"/>
      <c r="G30" s="2"/>
      <c r="H30" s="2"/>
      <c r="I30" s="2"/>
      <c r="J30" s="2"/>
      <c r="K30" s="2"/>
      <c r="L30" s="2"/>
      <c r="M30" s="2"/>
      <c r="N30" s="2"/>
      <c r="O30" s="2"/>
    </row>
    <row r="31" spans="2:15" x14ac:dyDescent="0.25">
      <c r="B31" s="1" t="s">
        <v>219</v>
      </c>
      <c r="C31" s="1"/>
      <c r="D31" s="2"/>
      <c r="E31" s="2"/>
      <c r="F31" s="2"/>
      <c r="G31" s="2"/>
      <c r="H31" s="2"/>
      <c r="I31" s="2"/>
      <c r="J31" s="2"/>
      <c r="K31" s="2"/>
      <c r="L31" s="2"/>
      <c r="M31" s="2"/>
      <c r="N31" s="2"/>
      <c r="O31" s="2"/>
    </row>
    <row r="32" spans="2:15" x14ac:dyDescent="0.25">
      <c r="B32" s="1" t="s">
        <v>220</v>
      </c>
      <c r="C32" s="2"/>
      <c r="D32" s="2"/>
      <c r="E32" s="2"/>
      <c r="F32" s="2"/>
      <c r="G32" s="2"/>
      <c r="H32" s="2"/>
      <c r="I32" s="2"/>
      <c r="J32" s="2"/>
      <c r="K32" s="2"/>
      <c r="L32" s="2"/>
      <c r="M32" s="2"/>
      <c r="N32" s="2"/>
      <c r="O32" s="2"/>
    </row>
    <row r="33" spans="2:15" x14ac:dyDescent="0.25">
      <c r="B33" s="163"/>
      <c r="C33" s="2"/>
      <c r="D33" s="2"/>
      <c r="E33" s="2"/>
      <c r="F33" s="2"/>
      <c r="G33" s="2"/>
      <c r="H33" s="2"/>
      <c r="I33" s="2"/>
      <c r="J33" s="2"/>
      <c r="K33" s="2"/>
      <c r="L33" s="2"/>
      <c r="M33" s="2"/>
      <c r="N33" s="2"/>
      <c r="O33" s="2"/>
    </row>
    <row r="34" spans="2:15" x14ac:dyDescent="0.25">
      <c r="B34" s="2"/>
      <c r="C34" s="1"/>
      <c r="D34" s="2"/>
      <c r="E34" s="2"/>
      <c r="F34" s="2"/>
      <c r="G34" s="2"/>
      <c r="H34" s="2"/>
      <c r="I34" s="2"/>
      <c r="J34" s="2"/>
      <c r="K34" s="2"/>
      <c r="L34" s="2"/>
      <c r="M34" s="2"/>
      <c r="N34" s="2"/>
      <c r="O34" s="2"/>
    </row>
    <row r="35" spans="2:15" x14ac:dyDescent="0.25">
      <c r="B35" s="2"/>
      <c r="C35" s="1"/>
      <c r="D35" s="2"/>
      <c r="E35" s="2"/>
      <c r="F35" s="2"/>
      <c r="G35" s="2"/>
      <c r="H35" s="2"/>
      <c r="I35" s="2"/>
      <c r="J35" s="2"/>
      <c r="K35" s="2"/>
      <c r="L35" s="2"/>
      <c r="M35" s="2"/>
      <c r="N35" s="2"/>
      <c r="O35" s="2"/>
    </row>
  </sheetData>
  <mergeCells count="1">
    <mergeCell ref="B1:N1"/>
  </mergeCells>
  <pageMargins left="0.7" right="0.7" top="0.75" bottom="0.75" header="0.3" footer="0.3"/>
  <pageSetup paperSize="5" scale="83" orientation="landscape" r:id="rId1"/>
  <headerFooter>
    <oddFooter>&amp;L&amp;F&amp;C&amp;K000000Public&amp;RA-&amp;P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06AFE-EAAC-45A6-AE8D-E4B80FD72C13}">
  <sheetPr>
    <pageSetUpPr fitToPage="1"/>
  </sheetPr>
  <dimension ref="B1:W74"/>
  <sheetViews>
    <sheetView showGridLines="0" view="pageBreakPreview" zoomScale="70" zoomScaleNormal="70" zoomScaleSheetLayoutView="70" workbookViewId="0">
      <selection activeCell="D22" sqref="D22:U23"/>
    </sheetView>
  </sheetViews>
  <sheetFormatPr defaultRowHeight="15" x14ac:dyDescent="0.25"/>
  <cols>
    <col min="1" max="1" width="1.85546875" customWidth="1"/>
    <col min="2" max="2" width="55" customWidth="1"/>
    <col min="4" max="5" width="25" customWidth="1"/>
    <col min="6" max="17" width="17.7109375" customWidth="1"/>
    <col min="18" max="21" width="19.7109375" customWidth="1"/>
    <col min="22" max="22" width="15" customWidth="1"/>
  </cols>
  <sheetData>
    <row r="1" spans="2:23" ht="55.5" customHeight="1" x14ac:dyDescent="0.25">
      <c r="B1" s="229" t="s">
        <v>231</v>
      </c>
      <c r="C1" s="230"/>
      <c r="D1" s="230"/>
      <c r="E1" s="230"/>
      <c r="F1" s="230"/>
      <c r="G1" s="230"/>
      <c r="H1" s="230"/>
      <c r="I1" s="230"/>
      <c r="J1" s="230"/>
      <c r="K1" s="230"/>
      <c r="L1" s="230"/>
      <c r="M1" s="230"/>
      <c r="N1" s="230"/>
      <c r="O1" s="230"/>
      <c r="P1" s="230"/>
      <c r="Q1" s="230"/>
      <c r="R1" s="230"/>
      <c r="S1" s="230"/>
      <c r="T1" s="230"/>
      <c r="U1" s="230"/>
      <c r="V1" s="230"/>
      <c r="W1" s="1"/>
    </row>
    <row r="2" spans="2:23" ht="12.75" customHeight="1" x14ac:dyDescent="0.25">
      <c r="B2" s="2" t="s">
        <v>51</v>
      </c>
      <c r="C2" s="1"/>
      <c r="D2" s="1"/>
      <c r="E2" s="1"/>
      <c r="F2" s="1"/>
      <c r="G2" s="1"/>
      <c r="H2" s="1"/>
      <c r="I2" s="1"/>
      <c r="J2" s="1"/>
      <c r="K2" s="1"/>
      <c r="L2" s="1"/>
      <c r="M2" s="1"/>
      <c r="N2" s="1"/>
      <c r="O2" s="1"/>
      <c r="P2" s="1"/>
      <c r="Q2" s="1"/>
      <c r="R2" s="1"/>
      <c r="S2" s="1"/>
      <c r="T2" s="1"/>
      <c r="U2" s="1"/>
      <c r="V2" s="1"/>
      <c r="W2" s="1"/>
    </row>
    <row r="3" spans="2:23" ht="12.75" customHeight="1" x14ac:dyDescent="0.25">
      <c r="B3" s="2" t="s">
        <v>85</v>
      </c>
      <c r="C3" s="1"/>
      <c r="D3" s="1"/>
      <c r="E3" s="1"/>
      <c r="F3" s="1"/>
      <c r="G3" s="1"/>
      <c r="H3" s="1"/>
      <c r="I3" s="1"/>
      <c r="J3" s="1"/>
      <c r="K3" s="1"/>
      <c r="L3" s="1"/>
      <c r="M3" s="1"/>
      <c r="N3" s="1"/>
      <c r="O3" s="1"/>
      <c r="P3" s="1"/>
      <c r="Q3" s="1"/>
      <c r="R3" s="1"/>
      <c r="S3" s="1"/>
      <c r="T3" s="1"/>
      <c r="U3" s="1"/>
      <c r="V3" s="1"/>
      <c r="W3" s="1"/>
    </row>
    <row r="4" spans="2:23" ht="12.75" customHeight="1" x14ac:dyDescent="0.25">
      <c r="B4" s="1"/>
      <c r="C4" s="1"/>
      <c r="D4" s="1"/>
      <c r="E4" s="1"/>
      <c r="F4" s="1"/>
      <c r="G4" s="1"/>
      <c r="H4" s="1"/>
      <c r="I4" s="1"/>
      <c r="J4" s="1"/>
      <c r="K4" s="1"/>
      <c r="L4" s="1"/>
      <c r="M4" s="1"/>
      <c r="N4" s="1"/>
      <c r="O4" s="1"/>
      <c r="P4" s="1"/>
      <c r="Q4" s="1"/>
      <c r="R4" s="1"/>
      <c r="S4" s="1"/>
      <c r="T4" s="1"/>
      <c r="U4" s="1"/>
      <c r="V4" s="1"/>
      <c r="W4" s="1"/>
    </row>
    <row r="5" spans="2:23" ht="18" customHeight="1" x14ac:dyDescent="0.25">
      <c r="B5" s="1"/>
      <c r="C5" s="1"/>
      <c r="D5" s="240" t="s">
        <v>181</v>
      </c>
      <c r="E5" s="240" t="s">
        <v>182</v>
      </c>
      <c r="F5" s="231" t="s">
        <v>86</v>
      </c>
      <c r="G5" s="232"/>
      <c r="H5" s="232"/>
      <c r="I5" s="232"/>
      <c r="J5" s="232"/>
      <c r="K5" s="232"/>
      <c r="L5" s="232"/>
      <c r="M5" s="232"/>
      <c r="N5" s="232"/>
      <c r="O5" s="232"/>
      <c r="P5" s="232"/>
      <c r="Q5" s="233"/>
      <c r="R5" s="242" t="s">
        <v>87</v>
      </c>
      <c r="S5" s="244" t="s">
        <v>183</v>
      </c>
      <c r="T5" s="244" t="s">
        <v>184</v>
      </c>
      <c r="U5" s="244" t="s">
        <v>88</v>
      </c>
      <c r="V5" s="246" t="s">
        <v>89</v>
      </c>
      <c r="W5" s="1"/>
    </row>
    <row r="6" spans="2:23" ht="40.5" customHeight="1" x14ac:dyDescent="0.25">
      <c r="B6" s="44" t="s">
        <v>90</v>
      </c>
      <c r="C6" s="1"/>
      <c r="D6" s="241"/>
      <c r="E6" s="241"/>
      <c r="F6" s="216" t="s">
        <v>53</v>
      </c>
      <c r="G6" s="217" t="s">
        <v>54</v>
      </c>
      <c r="H6" s="217" t="s">
        <v>55</v>
      </c>
      <c r="I6" s="217" t="s">
        <v>56</v>
      </c>
      <c r="J6" s="217" t="s">
        <v>57</v>
      </c>
      <c r="K6" s="217" t="s">
        <v>58</v>
      </c>
      <c r="L6" s="217" t="s">
        <v>66</v>
      </c>
      <c r="M6" s="217" t="s">
        <v>67</v>
      </c>
      <c r="N6" s="217" t="s">
        <v>68</v>
      </c>
      <c r="O6" s="217" t="s">
        <v>69</v>
      </c>
      <c r="P6" s="217" t="s">
        <v>70</v>
      </c>
      <c r="Q6" s="218" t="s">
        <v>71</v>
      </c>
      <c r="R6" s="243"/>
      <c r="S6" s="245"/>
      <c r="T6" s="245"/>
      <c r="U6" s="245"/>
      <c r="V6" s="247"/>
      <c r="W6" s="1"/>
    </row>
    <row r="7" spans="2:23" ht="29.25" customHeight="1" x14ac:dyDescent="0.25">
      <c r="B7" s="62" t="s">
        <v>91</v>
      </c>
      <c r="C7" s="30"/>
      <c r="D7" s="30"/>
      <c r="E7" s="30"/>
      <c r="F7" s="30"/>
      <c r="G7" s="30"/>
      <c r="H7" s="30"/>
      <c r="I7" s="30"/>
      <c r="J7" s="30"/>
      <c r="K7" s="30"/>
      <c r="L7" s="30"/>
      <c r="M7" s="30"/>
      <c r="N7" s="30"/>
      <c r="O7" s="30"/>
      <c r="P7" s="30"/>
      <c r="Q7" s="30"/>
      <c r="R7" s="30"/>
      <c r="S7" s="30"/>
      <c r="T7" s="30"/>
      <c r="U7" s="30"/>
      <c r="V7" s="32"/>
      <c r="W7" s="1"/>
    </row>
    <row r="8" spans="2:23" ht="12.75" customHeight="1" x14ac:dyDescent="0.25">
      <c r="B8" s="33" t="str">
        <f>API</f>
        <v>Agricultural &amp; Pumping Interruptible (API)</v>
      </c>
      <c r="C8" s="57"/>
      <c r="D8" s="107"/>
      <c r="E8" s="107"/>
      <c r="F8" s="108">
        <v>4095.94</v>
      </c>
      <c r="G8" s="108">
        <v>18529.654600000002</v>
      </c>
      <c r="H8" s="108">
        <v>6044.3010000000004</v>
      </c>
      <c r="I8" s="108">
        <v>22609.68</v>
      </c>
      <c r="J8" s="108">
        <v>55249.192499999997</v>
      </c>
      <c r="K8" s="108">
        <v>22434.358700000001</v>
      </c>
      <c r="L8" s="108"/>
      <c r="M8" s="108"/>
      <c r="N8" s="108"/>
      <c r="O8" s="108"/>
      <c r="P8" s="108"/>
      <c r="Q8" s="108"/>
      <c r="R8" s="72">
        <f>SUM(F8:Q8)</f>
        <v>128963.12679999998</v>
      </c>
      <c r="S8" s="72">
        <f t="shared" ref="S8:S17" si="0">SUM(D8:E8,R8)</f>
        <v>128963.12679999998</v>
      </c>
      <c r="T8" s="72"/>
      <c r="U8" s="72"/>
      <c r="V8" s="114"/>
      <c r="W8" s="1"/>
    </row>
    <row r="9" spans="2:23" ht="12.75" customHeight="1" x14ac:dyDescent="0.25">
      <c r="B9" s="58" t="str">
        <f>API_I</f>
        <v>Agricultural &amp; Pumping Interruptible (API) Incentives</v>
      </c>
      <c r="C9" s="1"/>
      <c r="D9" s="109"/>
      <c r="E9" s="109"/>
      <c r="F9" s="110">
        <v>137551.51999999999</v>
      </c>
      <c r="G9" s="110">
        <v>88360.31</v>
      </c>
      <c r="H9" s="110">
        <f>Incentives!H8</f>
        <v>100418.78</v>
      </c>
      <c r="I9" s="110">
        <f>Incentives!I8</f>
        <v>101891.94</v>
      </c>
      <c r="J9" s="110">
        <f>Incentives!J8</f>
        <v>180414.28</v>
      </c>
      <c r="K9" s="110">
        <f>Incentives!K8</f>
        <v>360362.05</v>
      </c>
      <c r="L9" s="110"/>
      <c r="M9" s="110"/>
      <c r="N9" s="110"/>
      <c r="O9" s="110"/>
      <c r="P9" s="110"/>
      <c r="Q9" s="110"/>
      <c r="R9" s="76">
        <f t="shared" ref="R9:R17" si="1">SUM(F9:Q9)</f>
        <v>968998.87999999989</v>
      </c>
      <c r="S9" s="76">
        <f t="shared" si="0"/>
        <v>968998.87999999989</v>
      </c>
      <c r="T9" s="76"/>
      <c r="U9" s="76"/>
      <c r="V9" s="115"/>
      <c r="W9" s="1"/>
    </row>
    <row r="10" spans="2:23" ht="12.75" customHeight="1" x14ac:dyDescent="0.25">
      <c r="B10" s="37" t="str">
        <f>BIPG</f>
        <v>Base Interruptible Program (BIP)</v>
      </c>
      <c r="C10" s="1"/>
      <c r="D10" s="109"/>
      <c r="E10" s="109"/>
      <c r="F10" s="110">
        <v>11700.55</v>
      </c>
      <c r="G10" s="110">
        <v>23518.597900000001</v>
      </c>
      <c r="H10" s="110">
        <v>24154.9447</v>
      </c>
      <c r="I10" s="110">
        <v>34798.44</v>
      </c>
      <c r="J10" s="110">
        <v>155957.80040000001</v>
      </c>
      <c r="K10" s="110">
        <v>53522.833299999998</v>
      </c>
      <c r="L10" s="110"/>
      <c r="M10" s="110"/>
      <c r="N10" s="110"/>
      <c r="O10" s="110"/>
      <c r="P10" s="110"/>
      <c r="Q10" s="110"/>
      <c r="R10" s="76">
        <f t="shared" si="1"/>
        <v>303653.16630000004</v>
      </c>
      <c r="S10" s="76">
        <f t="shared" si="0"/>
        <v>303653.16630000004</v>
      </c>
      <c r="T10" s="76"/>
      <c r="U10" s="76"/>
      <c r="V10" s="115"/>
      <c r="W10" s="1"/>
    </row>
    <row r="11" spans="2:23" ht="12.75" customHeight="1" x14ac:dyDescent="0.25">
      <c r="B11" s="58" t="str">
        <f>BIP_I</f>
        <v>Base Interruptible Program (BIP) Incentives</v>
      </c>
      <c r="C11" s="1"/>
      <c r="D11" s="109"/>
      <c r="E11" s="109"/>
      <c r="F11" s="110">
        <v>2816969.03</v>
      </c>
      <c r="G11" s="110">
        <v>2410114.11</v>
      </c>
      <c r="H11" s="110">
        <v>3167064.68</v>
      </c>
      <c r="I11" s="195">
        <v>3027623.77</v>
      </c>
      <c r="J11" s="221">
        <v>3134587.55</v>
      </c>
      <c r="K11" s="110">
        <v>4793555.3099999996</v>
      </c>
      <c r="L11" s="110"/>
      <c r="M11" s="110"/>
      <c r="N11" s="110"/>
      <c r="O11" s="110"/>
      <c r="P11" s="110"/>
      <c r="Q11" s="110"/>
      <c r="R11" s="76">
        <f t="shared" si="1"/>
        <v>19349914.449999999</v>
      </c>
      <c r="S11" s="76">
        <f t="shared" si="0"/>
        <v>19349914.449999999</v>
      </c>
      <c r="T11" s="76"/>
      <c r="U11" s="76"/>
      <c r="V11" s="115"/>
      <c r="W11" s="1"/>
    </row>
    <row r="12" spans="2:23" ht="12.75" customHeight="1" x14ac:dyDescent="0.25">
      <c r="B12" s="37" t="str">
        <f>CBPG</f>
        <v>Capacity Bidding Program (CBP)</v>
      </c>
      <c r="C12" s="1"/>
      <c r="D12" s="109"/>
      <c r="E12" s="109"/>
      <c r="F12" s="110">
        <v>650.51</v>
      </c>
      <c r="G12" s="110">
        <v>4139.6837999999998</v>
      </c>
      <c r="H12" s="110">
        <v>4840.3968999999997</v>
      </c>
      <c r="I12" s="110">
        <v>7491.56</v>
      </c>
      <c r="J12" s="110">
        <v>59343.929700000001</v>
      </c>
      <c r="K12" s="110">
        <v>17660.238799999999</v>
      </c>
      <c r="L12" s="110"/>
      <c r="M12" s="110"/>
      <c r="N12" s="110"/>
      <c r="O12" s="110"/>
      <c r="P12" s="110"/>
      <c r="Q12" s="110"/>
      <c r="R12" s="76">
        <f t="shared" si="1"/>
        <v>94126.319199999998</v>
      </c>
      <c r="S12" s="76">
        <f t="shared" si="0"/>
        <v>94126.319199999998</v>
      </c>
      <c r="T12" s="76"/>
      <c r="U12" s="76"/>
      <c r="V12" s="115"/>
      <c r="W12" s="1"/>
    </row>
    <row r="13" spans="2:23" ht="12.75" customHeight="1" x14ac:dyDescent="0.25">
      <c r="B13" s="58" t="str">
        <f>CBP_I</f>
        <v>Capacity Bidding Program (CBP) Incentives</v>
      </c>
      <c r="C13" s="1"/>
      <c r="D13" s="109"/>
      <c r="E13" s="109"/>
      <c r="F13" s="110">
        <v>0</v>
      </c>
      <c r="G13" s="110">
        <v>0</v>
      </c>
      <c r="H13" s="110">
        <v>0</v>
      </c>
      <c r="I13" s="195">
        <v>0</v>
      </c>
      <c r="J13" s="110">
        <v>2043.4</v>
      </c>
      <c r="K13" s="110">
        <v>2122.23</v>
      </c>
      <c r="L13" s="110"/>
      <c r="M13" s="110"/>
      <c r="N13" s="110"/>
      <c r="O13" s="110"/>
      <c r="P13" s="110"/>
      <c r="Q13" s="110"/>
      <c r="R13" s="76">
        <f t="shared" si="1"/>
        <v>4165.63</v>
      </c>
      <c r="S13" s="76">
        <f t="shared" si="0"/>
        <v>4165.63</v>
      </c>
      <c r="T13" s="76"/>
      <c r="U13" s="76"/>
      <c r="V13" s="115"/>
      <c r="W13" s="1"/>
    </row>
    <row r="14" spans="2:23" ht="12.75" customHeight="1" x14ac:dyDescent="0.25">
      <c r="B14" s="37" t="str">
        <f>SEP</f>
        <v>Smart Energy Program (SEP)</v>
      </c>
      <c r="C14" s="1"/>
      <c r="D14" s="109"/>
      <c r="E14" s="109"/>
      <c r="F14" s="110">
        <v>10784.17</v>
      </c>
      <c r="G14" s="110">
        <v>84402.795199999993</v>
      </c>
      <c r="H14" s="110">
        <v>66295.618100000007</v>
      </c>
      <c r="I14" s="110">
        <v>23045.39</v>
      </c>
      <c r="J14" s="110">
        <v>191014.16810000001</v>
      </c>
      <c r="K14" s="110">
        <v>206317.18530000001</v>
      </c>
      <c r="L14" s="110"/>
      <c r="M14" s="110"/>
      <c r="N14" s="110"/>
      <c r="O14" s="110"/>
      <c r="P14" s="110"/>
      <c r="Q14" s="110"/>
      <c r="R14" s="76">
        <f t="shared" si="1"/>
        <v>581859.32670000009</v>
      </c>
      <c r="S14" s="76">
        <f t="shared" si="0"/>
        <v>581859.32670000009</v>
      </c>
      <c r="T14" s="76"/>
      <c r="U14" s="76"/>
      <c r="V14" s="115"/>
      <c r="W14" s="1"/>
    </row>
    <row r="15" spans="2:23" ht="12.75" customHeight="1" x14ac:dyDescent="0.25">
      <c r="B15" s="58" t="str">
        <f>SEP_I</f>
        <v>Smart Energy Program Incentives</v>
      </c>
      <c r="C15" s="1"/>
      <c r="D15" s="109"/>
      <c r="E15" s="109"/>
      <c r="F15" s="110">
        <v>128.4</v>
      </c>
      <c r="G15" s="110">
        <v>210.58</v>
      </c>
      <c r="H15" s="110">
        <f>Incentives!H12</f>
        <v>281.02</v>
      </c>
      <c r="I15" s="110">
        <f>Incentives!I12</f>
        <v>-550.96</v>
      </c>
      <c r="J15" s="110">
        <f>Incentives!J12</f>
        <v>141.81</v>
      </c>
      <c r="K15" s="110">
        <f>Incentives!K12</f>
        <v>329312.17</v>
      </c>
      <c r="L15" s="110"/>
      <c r="M15" s="110"/>
      <c r="N15" s="110"/>
      <c r="O15" s="110"/>
      <c r="P15" s="110"/>
      <c r="Q15" s="110"/>
      <c r="R15" s="76">
        <f t="shared" si="1"/>
        <v>329523.01999999996</v>
      </c>
      <c r="S15" s="76">
        <f t="shared" si="0"/>
        <v>329523.01999999996</v>
      </c>
      <c r="T15" s="76"/>
      <c r="U15" s="76"/>
      <c r="V15" s="115"/>
      <c r="W15" s="1"/>
    </row>
    <row r="16" spans="2:23" ht="12.75" customHeight="1" x14ac:dyDescent="0.25">
      <c r="B16" s="37" t="str">
        <f>SDPG</f>
        <v>Summer Discount Plan Program (SDP)</v>
      </c>
      <c r="C16" s="1"/>
      <c r="D16" s="109"/>
      <c r="E16" s="109"/>
      <c r="F16" s="110">
        <v>46103.11</v>
      </c>
      <c r="G16" s="110">
        <v>117255.38649999999</v>
      </c>
      <c r="H16" s="110">
        <v>209638.70600000001</v>
      </c>
      <c r="I16" s="110">
        <v>192949.46</v>
      </c>
      <c r="J16" s="110">
        <v>376157.31439999997</v>
      </c>
      <c r="K16" s="110">
        <v>302360.2623</v>
      </c>
      <c r="L16" s="110"/>
      <c r="M16" s="110"/>
      <c r="N16" s="110"/>
      <c r="O16" s="110"/>
      <c r="P16" s="110"/>
      <c r="Q16" s="110"/>
      <c r="R16" s="76">
        <f t="shared" si="1"/>
        <v>1244464.2392</v>
      </c>
      <c r="S16" s="76">
        <f t="shared" si="0"/>
        <v>1244464.2392</v>
      </c>
      <c r="T16" s="76"/>
      <c r="U16" s="76"/>
      <c r="V16" s="115"/>
      <c r="W16" s="1"/>
    </row>
    <row r="17" spans="2:23" ht="12.75" customHeight="1" x14ac:dyDescent="0.25">
      <c r="B17" s="59" t="str">
        <f>SDP_I</f>
        <v>Summer Discount Plan Program (SDP) Incentives</v>
      </c>
      <c r="C17" s="35"/>
      <c r="D17" s="111"/>
      <c r="E17" s="111"/>
      <c r="F17" s="112">
        <v>40428.17</v>
      </c>
      <c r="G17" s="112">
        <v>27932.38</v>
      </c>
      <c r="H17" s="112">
        <f>SUM(Incentives!H13:H14)</f>
        <v>-187308.06</v>
      </c>
      <c r="I17" s="112">
        <f>SUM(Incentives!I13:I14)</f>
        <v>192710.74000000002</v>
      </c>
      <c r="J17" s="112">
        <f>SUM(Incentives!J13:J14)</f>
        <v>4767.8</v>
      </c>
      <c r="K17" s="112">
        <f>SUM(Incentives!K13:K14)</f>
        <v>3148996.87</v>
      </c>
      <c r="L17" s="112"/>
      <c r="M17" s="112"/>
      <c r="N17" s="112"/>
      <c r="O17" s="112"/>
      <c r="P17" s="112"/>
      <c r="Q17" s="112"/>
      <c r="R17" s="80">
        <f t="shared" si="1"/>
        <v>3227527.9000000004</v>
      </c>
      <c r="S17" s="80">
        <f t="shared" si="0"/>
        <v>3227527.9000000004</v>
      </c>
      <c r="T17" s="80"/>
      <c r="U17" s="80"/>
      <c r="V17" s="116"/>
      <c r="W17" s="1"/>
    </row>
    <row r="18" spans="2:23" ht="12.75" customHeight="1" x14ac:dyDescent="0.25">
      <c r="B18" s="36" t="s">
        <v>92</v>
      </c>
      <c r="C18" s="63"/>
      <c r="D18" s="64">
        <f t="shared" ref="D18:S18" si="2">SUM(D8:D17)</f>
        <v>0</v>
      </c>
      <c r="E18" s="64">
        <f t="shared" si="2"/>
        <v>0</v>
      </c>
      <c r="F18" s="64">
        <f t="shared" si="2"/>
        <v>3068411.399999999</v>
      </c>
      <c r="G18" s="64">
        <f t="shared" si="2"/>
        <v>2774463.4980000001</v>
      </c>
      <c r="H18" s="64">
        <f t="shared" si="2"/>
        <v>3391430.3867000001</v>
      </c>
      <c r="I18" s="64">
        <f t="shared" si="2"/>
        <v>3602570.0200000005</v>
      </c>
      <c r="J18" s="64">
        <f>SUM(J8:J17)</f>
        <v>4159677.2450999999</v>
      </c>
      <c r="K18" s="64">
        <f t="shared" si="2"/>
        <v>9236643.5084000006</v>
      </c>
      <c r="L18" s="64">
        <f t="shared" si="2"/>
        <v>0</v>
      </c>
      <c r="M18" s="64">
        <f t="shared" si="2"/>
        <v>0</v>
      </c>
      <c r="N18" s="64">
        <f t="shared" si="2"/>
        <v>0</v>
      </c>
      <c r="O18" s="64">
        <f t="shared" si="2"/>
        <v>0</v>
      </c>
      <c r="P18" s="64">
        <f t="shared" si="2"/>
        <v>0</v>
      </c>
      <c r="Q18" s="64">
        <f t="shared" si="2"/>
        <v>0</v>
      </c>
      <c r="R18" s="83">
        <f t="shared" si="2"/>
        <v>26233196.058199994</v>
      </c>
      <c r="S18" s="83">
        <f t="shared" si="2"/>
        <v>26233196.058199994</v>
      </c>
      <c r="T18" s="83">
        <v>130084858</v>
      </c>
      <c r="U18" s="199"/>
      <c r="V18" s="122">
        <f>S18/SUM(T18:U18)</f>
        <v>0.20166218006864406</v>
      </c>
      <c r="W18" s="1"/>
    </row>
    <row r="19" spans="2:23" ht="12.75" customHeight="1" x14ac:dyDescent="0.25">
      <c r="B19" s="1"/>
      <c r="C19" s="1"/>
      <c r="D19" s="110"/>
      <c r="E19" s="110"/>
      <c r="F19" s="110"/>
      <c r="G19" s="110"/>
      <c r="H19" s="110"/>
      <c r="I19" s="110"/>
      <c r="J19" s="110"/>
      <c r="K19" s="110"/>
      <c r="L19" s="110"/>
      <c r="M19" s="110"/>
      <c r="N19" s="110"/>
      <c r="O19" s="110"/>
      <c r="P19" s="110"/>
      <c r="Q19" s="110"/>
      <c r="R19" s="77"/>
      <c r="S19" s="77"/>
      <c r="T19" s="77"/>
      <c r="U19" s="77"/>
      <c r="V19" s="1"/>
      <c r="W19" s="1"/>
    </row>
    <row r="20" spans="2:23" ht="25.5" customHeight="1" x14ac:dyDescent="0.25">
      <c r="B20" s="55" t="s">
        <v>93</v>
      </c>
      <c r="C20" s="1"/>
      <c r="D20" s="110"/>
      <c r="E20" s="110"/>
      <c r="F20" s="110"/>
      <c r="G20" s="110"/>
      <c r="H20" s="110"/>
      <c r="I20" s="110"/>
      <c r="J20" s="110"/>
      <c r="K20" s="110"/>
      <c r="L20" s="110"/>
      <c r="M20" s="110"/>
      <c r="N20" s="110"/>
      <c r="O20" s="110"/>
      <c r="P20" s="110"/>
      <c r="Q20" s="110"/>
      <c r="R20" s="77"/>
      <c r="S20" s="77"/>
      <c r="T20" s="77"/>
      <c r="U20" s="77"/>
      <c r="V20" s="1"/>
      <c r="W20" s="1"/>
    </row>
    <row r="21" spans="2:23" ht="12.75" customHeight="1" x14ac:dyDescent="0.25">
      <c r="B21" s="33" t="str">
        <f>OBMC</f>
        <v>Optional Binding Mandatory Curtailment (OBMC)</v>
      </c>
      <c r="C21" s="57"/>
      <c r="D21" s="107"/>
      <c r="E21" s="107"/>
      <c r="F21" s="108">
        <v>0</v>
      </c>
      <c r="G21" s="108">
        <v>0</v>
      </c>
      <c r="H21" s="108">
        <v>0</v>
      </c>
      <c r="I21" s="108">
        <v>0</v>
      </c>
      <c r="J21" s="108">
        <v>0</v>
      </c>
      <c r="K21" s="108">
        <v>0</v>
      </c>
      <c r="L21" s="108"/>
      <c r="M21" s="108"/>
      <c r="N21" s="108"/>
      <c r="O21" s="108"/>
      <c r="P21" s="108"/>
      <c r="Q21" s="108"/>
      <c r="R21" s="72">
        <f t="shared" ref="R21:R22" si="3">SUM(F21:Q21)</f>
        <v>0</v>
      </c>
      <c r="S21" s="72">
        <f>SUM(D21:E21,R21)</f>
        <v>0</v>
      </c>
      <c r="T21" s="72"/>
      <c r="U21" s="72"/>
      <c r="V21" s="114"/>
      <c r="W21" s="1"/>
    </row>
    <row r="22" spans="2:23" ht="12.75" customHeight="1" x14ac:dyDescent="0.25">
      <c r="B22" s="34" t="str">
        <f>SLRP</f>
        <v>Scheduled Load Reduction Program (SLRP)</v>
      </c>
      <c r="C22" s="35"/>
      <c r="D22" s="111"/>
      <c r="E22" s="111"/>
      <c r="F22" s="112">
        <v>0</v>
      </c>
      <c r="G22" s="112">
        <v>0</v>
      </c>
      <c r="H22" s="112">
        <v>0</v>
      </c>
      <c r="I22" s="112">
        <v>0</v>
      </c>
      <c r="J22" s="112">
        <v>0</v>
      </c>
      <c r="K22" s="112">
        <v>0</v>
      </c>
      <c r="L22" s="112"/>
      <c r="M22" s="112"/>
      <c r="N22" s="112"/>
      <c r="O22" s="112"/>
      <c r="P22" s="112"/>
      <c r="Q22" s="112"/>
      <c r="R22" s="80">
        <f t="shared" si="3"/>
        <v>0</v>
      </c>
      <c r="S22" s="80">
        <f>SUM(D22:E22,R22)</f>
        <v>0</v>
      </c>
      <c r="T22" s="80"/>
      <c r="U22" s="80"/>
      <c r="V22" s="116"/>
      <c r="W22" s="1"/>
    </row>
    <row r="23" spans="2:23" ht="12.75" customHeight="1" x14ac:dyDescent="0.25">
      <c r="B23" s="36" t="s">
        <v>94</v>
      </c>
      <c r="C23" s="63"/>
      <c r="D23" s="64">
        <f t="shared" ref="D23:S23" si="4">SUM(D21:D22)</f>
        <v>0</v>
      </c>
      <c r="E23" s="64">
        <f t="shared" si="4"/>
        <v>0</v>
      </c>
      <c r="F23" s="64">
        <f t="shared" si="4"/>
        <v>0</v>
      </c>
      <c r="G23" s="64">
        <f t="shared" si="4"/>
        <v>0</v>
      </c>
      <c r="H23" s="64">
        <f t="shared" si="4"/>
        <v>0</v>
      </c>
      <c r="I23" s="64">
        <f t="shared" si="4"/>
        <v>0</v>
      </c>
      <c r="J23" s="64">
        <f t="shared" si="4"/>
        <v>0</v>
      </c>
      <c r="K23" s="64">
        <f t="shared" si="4"/>
        <v>0</v>
      </c>
      <c r="L23" s="64">
        <f t="shared" si="4"/>
        <v>0</v>
      </c>
      <c r="M23" s="64">
        <f t="shared" si="4"/>
        <v>0</v>
      </c>
      <c r="N23" s="64">
        <f t="shared" si="4"/>
        <v>0</v>
      </c>
      <c r="O23" s="64">
        <f t="shared" si="4"/>
        <v>0</v>
      </c>
      <c r="P23" s="64">
        <f t="shared" si="4"/>
        <v>0</v>
      </c>
      <c r="Q23" s="64">
        <f t="shared" si="4"/>
        <v>0</v>
      </c>
      <c r="R23" s="83">
        <f t="shared" si="4"/>
        <v>0</v>
      </c>
      <c r="S23" s="83">
        <f t="shared" si="4"/>
        <v>0</v>
      </c>
      <c r="T23" s="83">
        <v>86693.425000000003</v>
      </c>
      <c r="U23" s="199"/>
      <c r="V23" s="122">
        <f>S23/SUM(T23:U23)</f>
        <v>0</v>
      </c>
      <c r="W23" s="1"/>
    </row>
    <row r="24" spans="2:23" ht="12.75" customHeight="1" x14ac:dyDescent="0.25">
      <c r="B24" s="1"/>
      <c r="C24" s="1"/>
      <c r="D24" s="110"/>
      <c r="E24" s="110"/>
      <c r="F24" s="110"/>
      <c r="G24" s="110"/>
      <c r="H24" s="110"/>
      <c r="I24" s="110"/>
      <c r="J24" s="110"/>
      <c r="K24" s="110"/>
      <c r="L24" s="110"/>
      <c r="M24" s="110"/>
      <c r="N24" s="110"/>
      <c r="O24" s="110"/>
      <c r="P24" s="110"/>
      <c r="Q24" s="110"/>
      <c r="R24" s="77"/>
      <c r="S24" s="77"/>
      <c r="T24" s="77"/>
      <c r="U24" s="77"/>
      <c r="V24" s="1"/>
      <c r="W24" s="1"/>
    </row>
    <row r="25" spans="2:23" ht="40.5" customHeight="1" x14ac:dyDescent="0.25">
      <c r="B25" s="55" t="s">
        <v>95</v>
      </c>
      <c r="C25" s="1"/>
      <c r="D25" s="110"/>
      <c r="E25" s="110"/>
      <c r="F25" s="110"/>
      <c r="G25" s="110"/>
      <c r="H25" s="110"/>
      <c r="I25" s="110"/>
      <c r="J25" s="110"/>
      <c r="K25" s="110"/>
      <c r="L25" s="110"/>
      <c r="M25" s="110"/>
      <c r="N25" s="110"/>
      <c r="O25" s="110"/>
      <c r="P25" s="110"/>
      <c r="Q25" s="110"/>
      <c r="R25" s="77"/>
      <c r="S25" s="77"/>
      <c r="T25" s="77"/>
      <c r="U25" s="77"/>
      <c r="V25" s="1"/>
      <c r="W25" s="1"/>
    </row>
    <row r="26" spans="2:23" ht="12.75" customHeight="1" x14ac:dyDescent="0.25">
      <c r="B26" s="33" t="str">
        <f>DRAM</f>
        <v>Demand Response Auction Mechanism (DRAM)</v>
      </c>
      <c r="C26" s="57"/>
      <c r="D26" s="107"/>
      <c r="E26" s="107"/>
      <c r="F26" s="108">
        <v>0</v>
      </c>
      <c r="G26" s="108">
        <v>0</v>
      </c>
      <c r="H26" s="108">
        <v>0</v>
      </c>
      <c r="I26" s="108">
        <v>426.71</v>
      </c>
      <c r="J26" s="108">
        <v>5689.89</v>
      </c>
      <c r="K26" s="108">
        <v>1044.9100000000001</v>
      </c>
      <c r="L26" s="108"/>
      <c r="M26" s="108"/>
      <c r="N26" s="108"/>
      <c r="O26" s="108"/>
      <c r="P26" s="108"/>
      <c r="Q26" s="108"/>
      <c r="R26" s="72">
        <f t="shared" ref="R26:R27" si="5">SUM(F26:Q26)</f>
        <v>7161.51</v>
      </c>
      <c r="S26" s="72">
        <f>SUM(D26:E26,R26)</f>
        <v>7161.51</v>
      </c>
      <c r="T26" s="72">
        <v>6000000</v>
      </c>
      <c r="U26" s="72"/>
      <c r="V26" s="114">
        <f t="shared" ref="V26:V27" si="6">S26/SUM(T26:U26)</f>
        <v>1.193585E-3</v>
      </c>
      <c r="W26" s="1"/>
    </row>
    <row r="27" spans="2:23" ht="12.75" customHeight="1" x14ac:dyDescent="0.25">
      <c r="B27" s="34" t="str">
        <f>DRR_24</f>
        <v>DR Rule 24</v>
      </c>
      <c r="C27" s="35"/>
      <c r="D27" s="111"/>
      <c r="E27" s="111"/>
      <c r="F27" s="112">
        <v>29122.97</v>
      </c>
      <c r="G27" s="112">
        <v>13453.757799999999</v>
      </c>
      <c r="H27" s="112">
        <v>21812.7084</v>
      </c>
      <c r="I27" s="112">
        <v>35457.79</v>
      </c>
      <c r="J27" s="112">
        <v>65415.8482</v>
      </c>
      <c r="K27" s="112">
        <v>40690.232900000003</v>
      </c>
      <c r="L27" s="112"/>
      <c r="M27" s="112"/>
      <c r="N27" s="112"/>
      <c r="O27" s="112"/>
      <c r="P27" s="112"/>
      <c r="Q27" s="112"/>
      <c r="R27" s="80">
        <f t="shared" si="5"/>
        <v>205953.30730000001</v>
      </c>
      <c r="S27" s="80">
        <f>SUM(D27:E27,R27)</f>
        <v>205953.30730000001</v>
      </c>
      <c r="T27" s="80">
        <v>455333.84960000002</v>
      </c>
      <c r="U27" s="80"/>
      <c r="V27" s="116">
        <f t="shared" si="6"/>
        <v>0.45231275355637429</v>
      </c>
      <c r="W27" s="1"/>
    </row>
    <row r="28" spans="2:23" ht="12.75" customHeight="1" x14ac:dyDescent="0.25">
      <c r="B28" s="36" t="s">
        <v>96</v>
      </c>
      <c r="C28" s="63"/>
      <c r="D28" s="64">
        <f t="shared" ref="D28:T28" si="7">SUM(D26:D27)</f>
        <v>0</v>
      </c>
      <c r="E28" s="64">
        <f t="shared" si="7"/>
        <v>0</v>
      </c>
      <c r="F28" s="64">
        <f t="shared" si="7"/>
        <v>29122.97</v>
      </c>
      <c r="G28" s="64">
        <f t="shared" si="7"/>
        <v>13453.757799999999</v>
      </c>
      <c r="H28" s="64">
        <f t="shared" si="7"/>
        <v>21812.7084</v>
      </c>
      <c r="I28" s="64">
        <f t="shared" si="7"/>
        <v>35884.5</v>
      </c>
      <c r="J28" s="64">
        <f t="shared" si="7"/>
        <v>71105.738200000007</v>
      </c>
      <c r="K28" s="64">
        <f t="shared" si="7"/>
        <v>41735.142900000006</v>
      </c>
      <c r="L28" s="64">
        <f t="shared" si="7"/>
        <v>0</v>
      </c>
      <c r="M28" s="64">
        <f t="shared" si="7"/>
        <v>0</v>
      </c>
      <c r="N28" s="64">
        <f t="shared" si="7"/>
        <v>0</v>
      </c>
      <c r="O28" s="64">
        <f t="shared" si="7"/>
        <v>0</v>
      </c>
      <c r="P28" s="64">
        <f t="shared" si="7"/>
        <v>0</v>
      </c>
      <c r="Q28" s="64">
        <f t="shared" si="7"/>
        <v>0</v>
      </c>
      <c r="R28" s="83">
        <f t="shared" si="7"/>
        <v>213114.81730000002</v>
      </c>
      <c r="S28" s="83">
        <f t="shared" si="7"/>
        <v>213114.81730000002</v>
      </c>
      <c r="T28" s="83">
        <f t="shared" si="7"/>
        <v>6455333.8496000003</v>
      </c>
      <c r="U28" s="199"/>
      <c r="V28" s="122">
        <f>S28/SUM(T28:U28)</f>
        <v>3.3013756107006846E-2</v>
      </c>
      <c r="W28" s="1"/>
    </row>
    <row r="29" spans="2:23" ht="12.75" customHeight="1" x14ac:dyDescent="0.25">
      <c r="B29" s="1"/>
      <c r="C29" s="1"/>
      <c r="D29" s="110"/>
      <c r="E29" s="110"/>
      <c r="F29" s="110"/>
      <c r="G29" s="110"/>
      <c r="H29" s="110"/>
      <c r="I29" s="110"/>
      <c r="J29" s="110"/>
      <c r="K29" s="110"/>
      <c r="L29" s="110"/>
      <c r="M29" s="110"/>
      <c r="N29" s="110"/>
      <c r="O29" s="110"/>
      <c r="P29" s="110"/>
      <c r="Q29" s="110"/>
      <c r="R29" s="77"/>
      <c r="S29" s="77"/>
      <c r="T29" s="77"/>
      <c r="U29" s="77"/>
      <c r="V29" s="1"/>
      <c r="W29" s="1"/>
    </row>
    <row r="30" spans="2:23" ht="27" customHeight="1" x14ac:dyDescent="0.25">
      <c r="B30" s="55" t="s">
        <v>97</v>
      </c>
      <c r="C30" s="1"/>
      <c r="D30" s="110"/>
      <c r="E30" s="110"/>
      <c r="F30" s="110"/>
      <c r="G30" s="110"/>
      <c r="H30" s="110"/>
      <c r="I30" s="110"/>
      <c r="J30" s="110"/>
      <c r="K30" s="110"/>
      <c r="L30" s="110"/>
      <c r="M30" s="110"/>
      <c r="N30" s="110"/>
      <c r="O30" s="110"/>
      <c r="P30" s="110"/>
      <c r="Q30" s="110"/>
      <c r="R30" s="77"/>
      <c r="S30" s="77"/>
      <c r="T30" s="77"/>
      <c r="U30" s="77"/>
      <c r="V30" s="1"/>
      <c r="W30" s="1"/>
    </row>
    <row r="31" spans="2:23" ht="12.75" customHeight="1" x14ac:dyDescent="0.25">
      <c r="B31" s="33" t="str">
        <f>EMT</f>
        <v>Emerging Markets and Technology</v>
      </c>
      <c r="C31" s="57"/>
      <c r="D31" s="107"/>
      <c r="E31" s="107">
        <v>1615369.05</v>
      </c>
      <c r="F31" s="108">
        <v>30372.29</v>
      </c>
      <c r="G31" s="108">
        <v>313988.40000000002</v>
      </c>
      <c r="H31" s="108">
        <f>46325.5708+422120.79</f>
        <v>468446.36079999997</v>
      </c>
      <c r="I31" s="108">
        <v>78856.37</v>
      </c>
      <c r="J31" s="108">
        <v>427892.22039999999</v>
      </c>
      <c r="K31" s="108">
        <v>305971.3124</v>
      </c>
      <c r="L31" s="108"/>
      <c r="M31" s="108"/>
      <c r="N31" s="108"/>
      <c r="O31" s="108"/>
      <c r="P31" s="108"/>
      <c r="Q31" s="108"/>
      <c r="R31" s="72">
        <f t="shared" ref="R31:R33" si="8">SUM(F31:Q31)</f>
        <v>1625526.9535999999</v>
      </c>
      <c r="S31" s="72">
        <f>SUM(D31:E31,R31)</f>
        <v>3240896.0035999999</v>
      </c>
      <c r="T31" s="72">
        <f>2500000+4500000</f>
        <v>7000000</v>
      </c>
      <c r="U31" s="72"/>
      <c r="V31" s="114">
        <f t="shared" ref="V31:V32" si="9">S31/SUM(T31:U31)</f>
        <v>0.46298514337142854</v>
      </c>
      <c r="W31" s="1"/>
    </row>
    <row r="32" spans="2:23" ht="12.75" customHeight="1" x14ac:dyDescent="0.25">
      <c r="B32" s="37" t="str">
        <f>SCT</f>
        <v>Smart Communicating Thermostat Program (SCT)</v>
      </c>
      <c r="C32" s="1"/>
      <c r="D32" s="109"/>
      <c r="E32" s="109"/>
      <c r="F32" s="110">
        <v>0</v>
      </c>
      <c r="G32" s="110">
        <v>0</v>
      </c>
      <c r="H32" s="110">
        <v>0</v>
      </c>
      <c r="I32" s="110">
        <v>0</v>
      </c>
      <c r="J32" s="110">
        <v>12891.69</v>
      </c>
      <c r="K32" s="110">
        <v>0</v>
      </c>
      <c r="L32" s="110"/>
      <c r="M32" s="110"/>
      <c r="N32" s="110"/>
      <c r="O32" s="110"/>
      <c r="P32" s="110"/>
      <c r="Q32" s="110"/>
      <c r="R32" s="76">
        <f t="shared" si="8"/>
        <v>12891.69</v>
      </c>
      <c r="S32" s="76">
        <f>SUM(D32:E32,R32)</f>
        <v>12891.69</v>
      </c>
      <c r="T32" s="76">
        <v>19800000</v>
      </c>
      <c r="U32" s="76"/>
      <c r="V32" s="115">
        <f t="shared" si="9"/>
        <v>6.5109545454545452E-4</v>
      </c>
      <c r="W32" s="1"/>
    </row>
    <row r="33" spans="2:23" ht="12.75" customHeight="1" x14ac:dyDescent="0.25">
      <c r="B33" s="34" t="str">
        <f>TIP</f>
        <v>Technology Incentive Program (AutoDR-TI)</v>
      </c>
      <c r="C33" s="35"/>
      <c r="D33" s="111"/>
      <c r="E33" s="111"/>
      <c r="F33" s="112">
        <v>7374.86</v>
      </c>
      <c r="G33" s="112">
        <v>8723.7931000000008</v>
      </c>
      <c r="H33" s="112">
        <v>145757.23199999999</v>
      </c>
      <c r="I33" s="112">
        <v>107969.94</v>
      </c>
      <c r="J33" s="112">
        <v>216907.44649999999</v>
      </c>
      <c r="K33" s="112">
        <v>80887.146900000007</v>
      </c>
      <c r="L33" s="112"/>
      <c r="M33" s="112"/>
      <c r="N33" s="112"/>
      <c r="O33" s="112"/>
      <c r="P33" s="112"/>
      <c r="Q33" s="112"/>
      <c r="R33" s="80">
        <f t="shared" si="8"/>
        <v>567620.41850000003</v>
      </c>
      <c r="S33" s="80">
        <f>SUM(D33:E33,R33)</f>
        <v>567620.41850000003</v>
      </c>
      <c r="T33" s="80"/>
      <c r="U33" s="80"/>
      <c r="V33" s="116"/>
      <c r="W33" s="1"/>
    </row>
    <row r="34" spans="2:23" ht="12.75" customHeight="1" x14ac:dyDescent="0.25">
      <c r="B34" s="36" t="s">
        <v>98</v>
      </c>
      <c r="C34" s="63"/>
      <c r="D34" s="64">
        <f t="shared" ref="D34:S34" si="10">SUM(D31:D33)</f>
        <v>0</v>
      </c>
      <c r="E34" s="64">
        <f t="shared" si="10"/>
        <v>1615369.05</v>
      </c>
      <c r="F34" s="64">
        <f t="shared" si="10"/>
        <v>37747.15</v>
      </c>
      <c r="G34" s="64">
        <f t="shared" si="10"/>
        <v>322712.19310000003</v>
      </c>
      <c r="H34" s="64">
        <f t="shared" si="10"/>
        <v>614203.59279999998</v>
      </c>
      <c r="I34" s="64">
        <f t="shared" si="10"/>
        <v>186826.31</v>
      </c>
      <c r="J34" s="64">
        <f t="shared" si="10"/>
        <v>657691.35690000001</v>
      </c>
      <c r="K34" s="64">
        <f t="shared" si="10"/>
        <v>386858.45929999999</v>
      </c>
      <c r="L34" s="64">
        <f t="shared" si="10"/>
        <v>0</v>
      </c>
      <c r="M34" s="64">
        <f t="shared" si="10"/>
        <v>0</v>
      </c>
      <c r="N34" s="64">
        <f t="shared" si="10"/>
        <v>0</v>
      </c>
      <c r="O34" s="64">
        <f t="shared" si="10"/>
        <v>0</v>
      </c>
      <c r="P34" s="64">
        <f t="shared" si="10"/>
        <v>0</v>
      </c>
      <c r="Q34" s="64">
        <f t="shared" si="10"/>
        <v>0</v>
      </c>
      <c r="R34" s="83">
        <f t="shared" si="10"/>
        <v>2206039.0620999997</v>
      </c>
      <c r="S34" s="83">
        <f t="shared" si="10"/>
        <v>3821408.1121</v>
      </c>
      <c r="T34" s="83">
        <f>SUM(T31:T33)+11009110.9865286</f>
        <v>37809110.986528598</v>
      </c>
      <c r="U34" s="199"/>
      <c r="V34" s="122">
        <f>S34/SUM(T34:U34)</f>
        <v>0.10107109139544618</v>
      </c>
      <c r="W34" s="1"/>
    </row>
    <row r="35" spans="2:23" ht="12.75" customHeight="1" x14ac:dyDescent="0.25">
      <c r="B35" s="1"/>
      <c r="C35" s="1"/>
      <c r="D35" s="110"/>
      <c r="E35" s="110"/>
      <c r="F35" s="110"/>
      <c r="G35" s="110"/>
      <c r="H35" s="110"/>
      <c r="I35" s="110"/>
      <c r="J35" s="110"/>
      <c r="K35" s="110"/>
      <c r="L35" s="110"/>
      <c r="M35" s="110"/>
      <c r="N35" s="110"/>
      <c r="O35" s="110"/>
      <c r="P35" s="110"/>
      <c r="Q35" s="110"/>
      <c r="R35" s="77"/>
      <c r="S35" s="77"/>
      <c r="T35" s="77"/>
      <c r="U35" s="77"/>
      <c r="V35" s="1"/>
      <c r="W35" s="1"/>
    </row>
    <row r="36" spans="2:23" ht="12.75" customHeight="1" x14ac:dyDescent="0.25">
      <c r="B36" s="29" t="s">
        <v>99</v>
      </c>
      <c r="C36" s="1"/>
      <c r="D36" s="110"/>
      <c r="E36" s="110"/>
      <c r="F36" s="110"/>
      <c r="G36" s="110"/>
      <c r="H36" s="110"/>
      <c r="I36" s="110"/>
      <c r="J36" s="110"/>
      <c r="K36" s="110"/>
      <c r="L36" s="110"/>
      <c r="M36" s="110"/>
      <c r="N36" s="110"/>
      <c r="O36" s="110"/>
      <c r="P36" s="110"/>
      <c r="Q36" s="110"/>
      <c r="R36" s="77"/>
      <c r="S36" s="77"/>
      <c r="T36" s="77"/>
      <c r="U36" s="77"/>
      <c r="V36" s="1"/>
      <c r="W36" s="1"/>
    </row>
    <row r="37" spans="2:23" ht="13.5" customHeight="1" x14ac:dyDescent="0.25">
      <c r="B37" s="33" t="str">
        <f>ELRP</f>
        <v>Emergency Load Reduction Program (ELRP)</v>
      </c>
      <c r="C37" s="57"/>
      <c r="D37" s="107">
        <v>293810.51</v>
      </c>
      <c r="E37" s="107">
        <v>6963737.6299999999</v>
      </c>
      <c r="F37" s="108">
        <v>61899.65</v>
      </c>
      <c r="G37" s="108">
        <v>1774177.73</v>
      </c>
      <c r="H37" s="108">
        <v>206583.3</v>
      </c>
      <c r="I37" s="108">
        <v>812064.26</v>
      </c>
      <c r="J37" s="108">
        <v>808419.11</v>
      </c>
      <c r="K37" s="108">
        <v>761500.03</v>
      </c>
      <c r="L37" s="108"/>
      <c r="M37" s="108"/>
      <c r="N37" s="108"/>
      <c r="O37" s="108"/>
      <c r="P37" s="108"/>
      <c r="Q37" s="108"/>
      <c r="R37" s="72">
        <f t="shared" ref="R37:R40" si="11">SUM(F37:Q37)</f>
        <v>4424644.08</v>
      </c>
      <c r="S37" s="72">
        <f>SUM(D37:E37,R37)</f>
        <v>11682192.219999999</v>
      </c>
      <c r="T37" s="72">
        <v>37400000</v>
      </c>
      <c r="U37" s="72"/>
      <c r="V37" s="114">
        <f t="shared" ref="V37:V40" si="12">S37/SUM(T37:U37)</f>
        <v>0.31235808074866306</v>
      </c>
      <c r="W37" s="1"/>
    </row>
    <row r="38" spans="2:23" ht="12.75" customHeight="1" x14ac:dyDescent="0.25">
      <c r="B38" s="37" t="str">
        <f>ELRP_I</f>
        <v>Emergency Load Reduction Program (ELRP) Incentives</v>
      </c>
      <c r="C38" s="1"/>
      <c r="D38" s="109">
        <v>0</v>
      </c>
      <c r="E38" s="109">
        <v>112151506.52</v>
      </c>
      <c r="F38" s="110">
        <v>-192007.91</v>
      </c>
      <c r="G38" s="195">
        <v>998.44</v>
      </c>
      <c r="H38" s="195">
        <v>412465.50999999978</v>
      </c>
      <c r="I38" s="195">
        <v>-2408247.2700000009</v>
      </c>
      <c r="J38" s="110">
        <v>192416.86</v>
      </c>
      <c r="K38" s="110">
        <v>83823.87</v>
      </c>
      <c r="L38" s="110"/>
      <c r="M38" s="110"/>
      <c r="N38" s="110"/>
      <c r="O38" s="110"/>
      <c r="P38" s="110"/>
      <c r="Q38" s="110"/>
      <c r="R38" s="76">
        <f t="shared" si="11"/>
        <v>-1910550.5000000014</v>
      </c>
      <c r="S38" s="76">
        <f>SUM(D38:E38,R38)</f>
        <v>110240956.02</v>
      </c>
      <c r="T38" s="76">
        <v>187000000</v>
      </c>
      <c r="U38" s="76"/>
      <c r="V38" s="115">
        <f t="shared" si="12"/>
        <v>0.58952382898395717</v>
      </c>
      <c r="W38" s="1"/>
    </row>
    <row r="39" spans="2:23" ht="12.75" customHeight="1" x14ac:dyDescent="0.25">
      <c r="B39" s="37" t="str">
        <f>IDSM_NR</f>
        <v>IDSM Non Residential</v>
      </c>
      <c r="C39" s="1"/>
      <c r="D39" s="109">
        <v>3154817.68</v>
      </c>
      <c r="E39" s="109">
        <v>560968.1</v>
      </c>
      <c r="F39" s="110">
        <v>35813.370000000003</v>
      </c>
      <c r="G39" s="110">
        <v>30287.445299999999</v>
      </c>
      <c r="H39" s="110">
        <v>42773.0049</v>
      </c>
      <c r="I39" s="110">
        <v>31870.76</v>
      </c>
      <c r="J39" s="110">
        <v>31786.433499999999</v>
      </c>
      <c r="K39" s="110">
        <v>21876.2988</v>
      </c>
      <c r="L39" s="110"/>
      <c r="M39" s="110"/>
      <c r="N39" s="110"/>
      <c r="O39" s="110"/>
      <c r="P39" s="110"/>
      <c r="Q39" s="110"/>
      <c r="R39" s="76">
        <f t="shared" si="11"/>
        <v>194407.3125</v>
      </c>
      <c r="S39" s="76">
        <f>SUM(D39:E39,R39)</f>
        <v>3910193.0925000003</v>
      </c>
      <c r="T39" s="76">
        <v>71321000.008300006</v>
      </c>
      <c r="U39" s="76"/>
      <c r="V39" s="115">
        <f t="shared" si="12"/>
        <v>5.4825270145468376E-2</v>
      </c>
      <c r="W39" s="1"/>
    </row>
    <row r="40" spans="2:23" ht="12.75" customHeight="1" x14ac:dyDescent="0.25">
      <c r="B40" s="37" t="str">
        <f>IDSM_R</f>
        <v>IDSM Residential</v>
      </c>
      <c r="C40" s="1"/>
      <c r="D40" s="109">
        <v>691689.4</v>
      </c>
      <c r="E40" s="109">
        <v>1044271.13</v>
      </c>
      <c r="F40" s="110">
        <v>6988.67</v>
      </c>
      <c r="G40" s="110">
        <v>81139.948199999999</v>
      </c>
      <c r="H40" s="110">
        <v>-174907.94500000001</v>
      </c>
      <c r="I40" s="110">
        <v>52493.32</v>
      </c>
      <c r="J40" s="110">
        <v>9391.1147000000001</v>
      </c>
      <c r="K40" s="110">
        <v>32957.189200000001</v>
      </c>
      <c r="L40" s="110"/>
      <c r="M40" s="110"/>
      <c r="N40" s="110"/>
      <c r="O40" s="110"/>
      <c r="P40" s="110"/>
      <c r="Q40" s="110"/>
      <c r="R40" s="76">
        <f t="shared" si="11"/>
        <v>8062.2970999999889</v>
      </c>
      <c r="S40" s="76">
        <f>SUM(D40:E40,R40)</f>
        <v>1744022.8271000001</v>
      </c>
      <c r="T40" s="76">
        <v>7999999.9974999987</v>
      </c>
      <c r="U40" s="76"/>
      <c r="V40" s="115">
        <f t="shared" si="12"/>
        <v>0.21800285345562595</v>
      </c>
      <c r="W40" s="1"/>
    </row>
    <row r="41" spans="2:23" ht="12.75" customHeight="1" x14ac:dyDescent="0.25">
      <c r="B41" s="36" t="s">
        <v>100</v>
      </c>
      <c r="C41" s="63"/>
      <c r="D41" s="64">
        <f t="shared" ref="D41:S41" si="13">SUM(D37:D40)</f>
        <v>4140317.5900000003</v>
      </c>
      <c r="E41" s="64">
        <f t="shared" si="13"/>
        <v>120720483.37999998</v>
      </c>
      <c r="F41" s="64">
        <f t="shared" si="13"/>
        <v>-87306.220000000016</v>
      </c>
      <c r="G41" s="64">
        <f t="shared" si="13"/>
        <v>1886603.5634999999</v>
      </c>
      <c r="H41" s="64">
        <f t="shared" si="13"/>
        <v>486913.86989999987</v>
      </c>
      <c r="I41" s="64">
        <f t="shared" si="13"/>
        <v>-1511818.9300000009</v>
      </c>
      <c r="J41" s="64">
        <f t="shared" si="13"/>
        <v>1042013.5182</v>
      </c>
      <c r="K41" s="64">
        <f t="shared" si="13"/>
        <v>900157.38800000004</v>
      </c>
      <c r="L41" s="64">
        <f t="shared" si="13"/>
        <v>0</v>
      </c>
      <c r="M41" s="64">
        <f t="shared" si="13"/>
        <v>0</v>
      </c>
      <c r="N41" s="64">
        <f t="shared" si="13"/>
        <v>0</v>
      </c>
      <c r="O41" s="64">
        <f t="shared" si="13"/>
        <v>0</v>
      </c>
      <c r="P41" s="64">
        <f t="shared" si="13"/>
        <v>0</v>
      </c>
      <c r="Q41" s="64">
        <f t="shared" si="13"/>
        <v>0</v>
      </c>
      <c r="R41" s="83">
        <f t="shared" si="13"/>
        <v>2716563.1895999988</v>
      </c>
      <c r="S41" s="83">
        <f t="shared" si="13"/>
        <v>127577364.15959999</v>
      </c>
      <c r="T41" s="83">
        <f>SUM(T37:T40)+251477.3275</f>
        <v>303972477.33329999</v>
      </c>
      <c r="U41" s="199"/>
      <c r="V41" s="122">
        <f>S41/SUM(T41:U41)</f>
        <v>0.41970037971468666</v>
      </c>
      <c r="W41" s="1"/>
    </row>
    <row r="42" spans="2:23" ht="12.75" customHeight="1" x14ac:dyDescent="0.25">
      <c r="B42" s="1"/>
      <c r="C42" s="1"/>
      <c r="D42" s="110"/>
      <c r="E42" s="110"/>
      <c r="F42" s="110"/>
      <c r="G42" s="110"/>
      <c r="H42" s="110"/>
      <c r="I42" s="110"/>
      <c r="J42" s="110"/>
      <c r="K42" s="110"/>
      <c r="L42" s="110"/>
      <c r="M42" s="110"/>
      <c r="N42" s="110"/>
      <c r="O42" s="110"/>
      <c r="P42" s="110"/>
      <c r="Q42" s="110"/>
      <c r="R42" s="77"/>
      <c r="S42" s="77"/>
      <c r="T42" s="77"/>
      <c r="U42" s="77"/>
      <c r="V42" s="1"/>
      <c r="W42" s="1"/>
    </row>
    <row r="43" spans="2:23" ht="29.25" customHeight="1" x14ac:dyDescent="0.25">
      <c r="B43" s="55" t="s">
        <v>101</v>
      </c>
      <c r="C43" s="1"/>
      <c r="D43" s="110"/>
      <c r="E43" s="110"/>
      <c r="F43" s="110"/>
      <c r="G43" s="110"/>
      <c r="H43" s="110"/>
      <c r="I43" s="110"/>
      <c r="J43" s="110"/>
      <c r="K43" s="110"/>
      <c r="L43" s="110"/>
      <c r="M43" s="110"/>
      <c r="N43" s="110"/>
      <c r="O43" s="110"/>
      <c r="P43" s="110"/>
      <c r="Q43" s="110"/>
      <c r="R43" s="77"/>
      <c r="S43" s="77"/>
      <c r="T43" s="77"/>
      <c r="U43" s="77"/>
      <c r="V43" s="1"/>
      <c r="W43" s="1"/>
    </row>
    <row r="44" spans="2:23" ht="12.75" customHeight="1" x14ac:dyDescent="0.25">
      <c r="B44" s="33" t="str">
        <f>OLM</f>
        <v>Other Local Marketing</v>
      </c>
      <c r="C44" s="57"/>
      <c r="D44" s="107"/>
      <c r="E44" s="107">
        <v>978586.2</v>
      </c>
      <c r="F44" s="73">
        <v>-174941.14</v>
      </c>
      <c r="G44" s="73">
        <v>-44435.91</v>
      </c>
      <c r="H44" s="73">
        <f>26582.9+553697.77</f>
        <v>580280.67000000004</v>
      </c>
      <c r="I44" s="73">
        <v>477762.11</v>
      </c>
      <c r="J44" s="108">
        <v>287358.64</v>
      </c>
      <c r="K44" s="108">
        <v>306306.89</v>
      </c>
      <c r="L44" s="108"/>
      <c r="M44" s="108"/>
      <c r="N44" s="108"/>
      <c r="O44" s="108"/>
      <c r="P44" s="108"/>
      <c r="Q44" s="108"/>
      <c r="R44" s="72">
        <f t="shared" ref="R44:R45" si="14">SUM(F44:Q44)</f>
        <v>1432331.2600000002</v>
      </c>
      <c r="S44" s="72">
        <f>SUM(D44:E44,R44)</f>
        <v>2410917.46</v>
      </c>
      <c r="T44" s="72">
        <v>2250000</v>
      </c>
      <c r="U44" s="72"/>
      <c r="V44" s="114"/>
      <c r="W44" s="1"/>
    </row>
    <row r="45" spans="2:23" ht="12.75" customHeight="1" x14ac:dyDescent="0.25">
      <c r="B45" s="37" t="s">
        <v>102</v>
      </c>
      <c r="C45" s="1"/>
      <c r="D45" s="109">
        <v>4321809.21</v>
      </c>
      <c r="E45" s="109">
        <v>9508232.2400000002</v>
      </c>
      <c r="F45" s="110">
        <v>282431.12</v>
      </c>
      <c r="G45" s="110">
        <v>-91547.14</v>
      </c>
      <c r="H45" s="110">
        <v>510178.06</v>
      </c>
      <c r="I45" s="110">
        <v>692598.31</v>
      </c>
      <c r="J45" s="110">
        <v>826649.28</v>
      </c>
      <c r="K45" s="110">
        <v>2530.29</v>
      </c>
      <c r="L45" s="110"/>
      <c r="M45" s="110"/>
      <c r="N45" s="110"/>
      <c r="O45" s="110"/>
      <c r="P45" s="110"/>
      <c r="Q45" s="110"/>
      <c r="R45" s="76">
        <f t="shared" si="14"/>
        <v>2222839.92</v>
      </c>
      <c r="S45" s="76">
        <f>SUM(D45:E45,R45)</f>
        <v>16052881.369999999</v>
      </c>
      <c r="T45" s="80">
        <v>25200000</v>
      </c>
      <c r="U45" s="76"/>
      <c r="V45" s="115"/>
      <c r="W45" s="1"/>
    </row>
    <row r="46" spans="2:23" ht="12.75" customHeight="1" x14ac:dyDescent="0.25">
      <c r="B46" s="36" t="s">
        <v>103</v>
      </c>
      <c r="C46" s="63"/>
      <c r="D46" s="64">
        <f t="shared" ref="D46:S46" si="15">SUM(D44:D45)</f>
        <v>4321809.21</v>
      </c>
      <c r="E46" s="64">
        <f t="shared" si="15"/>
        <v>10486818.439999999</v>
      </c>
      <c r="F46" s="64">
        <f t="shared" si="15"/>
        <v>107489.97999999998</v>
      </c>
      <c r="G46" s="64">
        <f t="shared" si="15"/>
        <v>-135983.04999999999</v>
      </c>
      <c r="H46" s="64">
        <f t="shared" si="15"/>
        <v>1090458.73</v>
      </c>
      <c r="I46" s="64">
        <f t="shared" si="15"/>
        <v>1170360.42</v>
      </c>
      <c r="J46" s="64">
        <f t="shared" si="15"/>
        <v>1114007.92</v>
      </c>
      <c r="K46" s="64">
        <f t="shared" si="15"/>
        <v>308837.18</v>
      </c>
      <c r="L46" s="64">
        <f t="shared" si="15"/>
        <v>0</v>
      </c>
      <c r="M46" s="64">
        <f t="shared" si="15"/>
        <v>0</v>
      </c>
      <c r="N46" s="64">
        <f t="shared" si="15"/>
        <v>0</v>
      </c>
      <c r="O46" s="64">
        <f t="shared" si="15"/>
        <v>0</v>
      </c>
      <c r="P46" s="64">
        <f t="shared" si="15"/>
        <v>0</v>
      </c>
      <c r="Q46" s="64">
        <f t="shared" si="15"/>
        <v>0</v>
      </c>
      <c r="R46" s="83">
        <f t="shared" si="15"/>
        <v>3655171.18</v>
      </c>
      <c r="S46" s="83">
        <f t="shared" si="15"/>
        <v>18463798.829999998</v>
      </c>
      <c r="T46" s="83">
        <f>SUM(T44:T45)+2528089.9970197</f>
        <v>29978089.997019701</v>
      </c>
      <c r="U46" s="199"/>
      <c r="V46" s="122">
        <f>S46/SUM(T46:U46)</f>
        <v>0.61590978050421474</v>
      </c>
      <c r="W46" s="1"/>
    </row>
    <row r="47" spans="2:23" ht="12.75" customHeight="1" x14ac:dyDescent="0.25">
      <c r="B47" s="1"/>
      <c r="C47" s="1"/>
      <c r="D47" s="110"/>
      <c r="E47" s="110"/>
      <c r="F47" s="110"/>
      <c r="G47" s="110"/>
      <c r="H47" s="110"/>
      <c r="I47" s="110"/>
      <c r="J47" s="110"/>
      <c r="K47" s="110"/>
      <c r="L47" s="110"/>
      <c r="M47" s="110"/>
      <c r="N47" s="110"/>
      <c r="O47" s="110"/>
      <c r="P47" s="110"/>
      <c r="Q47" s="110"/>
      <c r="R47" s="77"/>
      <c r="S47" s="77"/>
      <c r="T47" s="77"/>
      <c r="U47" s="77"/>
      <c r="V47" s="1"/>
      <c r="W47" s="1"/>
    </row>
    <row r="48" spans="2:23" ht="25.5" customHeight="1" x14ac:dyDescent="0.25">
      <c r="B48" s="55" t="s">
        <v>104</v>
      </c>
      <c r="C48" s="1"/>
      <c r="D48" s="110"/>
      <c r="E48" s="110"/>
      <c r="F48" s="110"/>
      <c r="G48" s="110"/>
      <c r="H48" s="110"/>
      <c r="I48" s="110"/>
      <c r="J48" s="110"/>
      <c r="K48" s="110"/>
      <c r="L48" s="110"/>
      <c r="M48" s="110"/>
      <c r="N48" s="110"/>
      <c r="O48" s="110"/>
      <c r="P48" s="110"/>
      <c r="Q48" s="110"/>
      <c r="R48" s="77"/>
      <c r="S48" s="77"/>
      <c r="T48" s="77"/>
      <c r="U48" s="77"/>
      <c r="V48" s="1"/>
      <c r="W48" s="1"/>
    </row>
    <row r="49" spans="2:23" ht="12.75" customHeight="1" x14ac:dyDescent="0.25">
      <c r="B49" s="33" t="str">
        <f>DRPS</f>
        <v>DR Potential Study</v>
      </c>
      <c r="C49" s="57"/>
      <c r="D49" s="107"/>
      <c r="E49" s="107"/>
      <c r="F49" s="108">
        <v>0</v>
      </c>
      <c r="G49" s="108">
        <v>0</v>
      </c>
      <c r="H49" s="108">
        <v>0</v>
      </c>
      <c r="I49" s="108">
        <v>0</v>
      </c>
      <c r="J49" s="108">
        <v>0</v>
      </c>
      <c r="K49" s="108">
        <v>0</v>
      </c>
      <c r="L49" s="108"/>
      <c r="M49" s="108"/>
      <c r="N49" s="108"/>
      <c r="O49" s="108"/>
      <c r="P49" s="108"/>
      <c r="Q49" s="108"/>
      <c r="R49" s="72">
        <f t="shared" ref="R49:R51" si="16">SUM(F49:Q49)</f>
        <v>0</v>
      </c>
      <c r="S49" s="72">
        <f>SUM(D49:E49,R49)</f>
        <v>0</v>
      </c>
      <c r="T49" s="72"/>
      <c r="U49" s="72"/>
      <c r="V49" s="114"/>
      <c r="W49" s="1"/>
    </row>
    <row r="50" spans="2:23" ht="12.75" customHeight="1" x14ac:dyDescent="0.25">
      <c r="B50" s="37" t="str">
        <f>DRST</f>
        <v>DR Systems &amp; Technology Support</v>
      </c>
      <c r="C50" s="1"/>
      <c r="D50" s="109"/>
      <c r="E50" s="109"/>
      <c r="F50" s="110">
        <v>48695.67</v>
      </c>
      <c r="G50" s="110">
        <v>122913.3545</v>
      </c>
      <c r="H50" s="110">
        <v>184392.85029999999</v>
      </c>
      <c r="I50" s="110">
        <v>248860.83</v>
      </c>
      <c r="J50" s="110">
        <v>423386.6961</v>
      </c>
      <c r="K50" s="110">
        <v>597977.63710000005</v>
      </c>
      <c r="L50" s="110"/>
      <c r="M50" s="110"/>
      <c r="N50" s="110"/>
      <c r="O50" s="110"/>
      <c r="P50" s="110"/>
      <c r="Q50" s="110"/>
      <c r="R50" s="76">
        <f t="shared" si="16"/>
        <v>1626227.0380000002</v>
      </c>
      <c r="S50" s="76">
        <f>SUM(D50:E50,R50)</f>
        <v>1626227.0380000002</v>
      </c>
      <c r="T50" s="76"/>
      <c r="U50" s="76"/>
      <c r="V50" s="115"/>
      <c r="W50" s="1"/>
    </row>
    <row r="51" spans="2:23" ht="12.75" customHeight="1" x14ac:dyDescent="0.25">
      <c r="B51" s="34" t="str">
        <f>EMV</f>
        <v>Evaluation, Measurement &amp; Verification (EM&amp;V)</v>
      </c>
      <c r="C51" s="35"/>
      <c r="D51" s="111"/>
      <c r="E51" s="111"/>
      <c r="F51" s="112">
        <v>122.97</v>
      </c>
      <c r="G51" s="112">
        <v>5029.8892999999998</v>
      </c>
      <c r="H51" s="112">
        <v>296.37670000000003</v>
      </c>
      <c r="I51" s="112">
        <v>8111.4</v>
      </c>
      <c r="J51" s="112">
        <v>62970.578500000003</v>
      </c>
      <c r="K51" s="112">
        <v>13469.5594</v>
      </c>
      <c r="L51" s="112"/>
      <c r="M51" s="112"/>
      <c r="N51" s="112"/>
      <c r="O51" s="112"/>
      <c r="P51" s="112"/>
      <c r="Q51" s="112"/>
      <c r="R51" s="80">
        <f t="shared" si="16"/>
        <v>90000.7739</v>
      </c>
      <c r="S51" s="80">
        <f>SUM(D51:E51,R51)</f>
        <v>90000.7739</v>
      </c>
      <c r="T51" s="80"/>
      <c r="U51" s="80"/>
      <c r="V51" s="116"/>
      <c r="W51" s="1"/>
    </row>
    <row r="52" spans="2:23" ht="12.75" customHeight="1" x14ac:dyDescent="0.25">
      <c r="B52" s="36" t="s">
        <v>105</v>
      </c>
      <c r="C52" s="63"/>
      <c r="D52" s="64">
        <f t="shared" ref="D52:S52" si="17">SUM(D49:D51)</f>
        <v>0</v>
      </c>
      <c r="E52" s="64">
        <f t="shared" si="17"/>
        <v>0</v>
      </c>
      <c r="F52" s="64">
        <f t="shared" si="17"/>
        <v>48818.64</v>
      </c>
      <c r="G52" s="64">
        <f t="shared" si="17"/>
        <v>127943.2438</v>
      </c>
      <c r="H52" s="64">
        <f t="shared" si="17"/>
        <v>184689.22699999998</v>
      </c>
      <c r="I52" s="64">
        <f t="shared" si="17"/>
        <v>256972.22999999998</v>
      </c>
      <c r="J52" s="64">
        <f t="shared" si="17"/>
        <v>486357.2746</v>
      </c>
      <c r="K52" s="64">
        <f t="shared" si="17"/>
        <v>611447.19650000008</v>
      </c>
      <c r="L52" s="64">
        <f t="shared" si="17"/>
        <v>0</v>
      </c>
      <c r="M52" s="64">
        <f t="shared" si="17"/>
        <v>0</v>
      </c>
      <c r="N52" s="64">
        <f t="shared" si="17"/>
        <v>0</v>
      </c>
      <c r="O52" s="64">
        <f t="shared" si="17"/>
        <v>0</v>
      </c>
      <c r="P52" s="64">
        <f t="shared" si="17"/>
        <v>0</v>
      </c>
      <c r="Q52" s="64">
        <f t="shared" si="17"/>
        <v>0</v>
      </c>
      <c r="R52" s="83">
        <f t="shared" si="17"/>
        <v>1716227.8119000001</v>
      </c>
      <c r="S52" s="83">
        <f t="shared" si="17"/>
        <v>1716227.8119000001</v>
      </c>
      <c r="T52" s="83">
        <v>6211933.0271695629</v>
      </c>
      <c r="U52" s="199"/>
      <c r="V52" s="122">
        <f>S52/SUM(T52:U52)</f>
        <v>0.27627918787817179</v>
      </c>
      <c r="W52" s="1"/>
    </row>
    <row r="53" spans="2:23" ht="12.75" customHeight="1" x14ac:dyDescent="0.25">
      <c r="B53" s="1"/>
      <c r="C53" s="1"/>
      <c r="D53" s="110"/>
      <c r="E53" s="110"/>
      <c r="F53" s="110"/>
      <c r="G53" s="110"/>
      <c r="H53" s="110"/>
      <c r="I53" s="110"/>
      <c r="J53" s="110"/>
      <c r="K53" s="110"/>
      <c r="L53" s="110"/>
      <c r="M53" s="110"/>
      <c r="N53" s="110"/>
      <c r="O53" s="110"/>
      <c r="P53" s="110"/>
      <c r="Q53" s="110"/>
      <c r="R53" s="77"/>
      <c r="S53" s="77"/>
      <c r="T53" s="77"/>
      <c r="U53" s="77"/>
      <c r="V53" s="1"/>
      <c r="W53" s="1"/>
    </row>
    <row r="54" spans="2:23" ht="12.75" customHeight="1" x14ac:dyDescent="0.25">
      <c r="B54" s="36" t="s">
        <v>106</v>
      </c>
      <c r="C54" s="63"/>
      <c r="D54" s="64">
        <f t="shared" ref="D54:T54" si="18">SUM(D18,D23,D28,D34,D41,D46,D52)</f>
        <v>8462126.8000000007</v>
      </c>
      <c r="E54" s="64">
        <f t="shared" si="18"/>
        <v>132822670.86999997</v>
      </c>
      <c r="F54" s="64">
        <f t="shared" si="18"/>
        <v>3204283.919999999</v>
      </c>
      <c r="G54" s="64">
        <f t="shared" si="18"/>
        <v>4989193.2062000008</v>
      </c>
      <c r="H54" s="64">
        <f t="shared" si="18"/>
        <v>5789508.5148000009</v>
      </c>
      <c r="I54" s="64">
        <f t="shared" si="18"/>
        <v>3740794.5499999993</v>
      </c>
      <c r="J54" s="64">
        <f t="shared" si="18"/>
        <v>7530853.0529999994</v>
      </c>
      <c r="K54" s="64">
        <f t="shared" si="18"/>
        <v>11485678.8751</v>
      </c>
      <c r="L54" s="64">
        <f t="shared" si="18"/>
        <v>0</v>
      </c>
      <c r="M54" s="64">
        <f t="shared" si="18"/>
        <v>0</v>
      </c>
      <c r="N54" s="64">
        <f t="shared" si="18"/>
        <v>0</v>
      </c>
      <c r="O54" s="64">
        <f t="shared" si="18"/>
        <v>0</v>
      </c>
      <c r="P54" s="64">
        <f t="shared" si="18"/>
        <v>0</v>
      </c>
      <c r="Q54" s="64">
        <f t="shared" si="18"/>
        <v>0</v>
      </c>
      <c r="R54" s="83">
        <f t="shared" si="18"/>
        <v>36740312.11909999</v>
      </c>
      <c r="S54" s="83">
        <f t="shared" si="18"/>
        <v>178025109.78909996</v>
      </c>
      <c r="T54" s="83">
        <f t="shared" si="18"/>
        <v>514598496.61861789</v>
      </c>
      <c r="U54" s="199"/>
      <c r="V54" s="122">
        <f>S54/SUM(T54:U54)</f>
        <v>0.34594953339134787</v>
      </c>
      <c r="W54" s="1"/>
    </row>
    <row r="55" spans="2:23" x14ac:dyDescent="0.25">
      <c r="T55" s="124"/>
    </row>
    <row r="56" spans="2:23" ht="30.75" customHeight="1" x14ac:dyDescent="0.25">
      <c r="B56" s="237" t="s">
        <v>268</v>
      </c>
      <c r="C56" s="238"/>
      <c r="D56" s="239"/>
      <c r="R56" s="168"/>
    </row>
    <row r="57" spans="2:23" x14ac:dyDescent="0.25">
      <c r="B57" s="153" t="s">
        <v>195</v>
      </c>
      <c r="C57" s="71"/>
      <c r="D57" s="151">
        <v>13380</v>
      </c>
    </row>
    <row r="58" spans="2:23" x14ac:dyDescent="0.25">
      <c r="B58" s="153" t="s">
        <v>196</v>
      </c>
      <c r="C58" s="71"/>
      <c r="D58" s="151">
        <v>0</v>
      </c>
      <c r="Q58" s="169"/>
      <c r="R58" s="195"/>
    </row>
    <row r="59" spans="2:23" x14ac:dyDescent="0.25">
      <c r="B59" s="69" t="s">
        <v>84</v>
      </c>
      <c r="C59" s="10"/>
      <c r="D59" s="152">
        <f>SUM(D57:D58)</f>
        <v>13380</v>
      </c>
      <c r="Q59" s="169"/>
      <c r="R59" s="196"/>
    </row>
    <row r="61" spans="2:23" x14ac:dyDescent="0.25">
      <c r="B61" s="21" t="s">
        <v>107</v>
      </c>
    </row>
    <row r="62" spans="2:23" s="169" customFormat="1" ht="17.25" customHeight="1" x14ac:dyDescent="0.25">
      <c r="B62" s="174" t="s">
        <v>232</v>
      </c>
      <c r="C62" s="175"/>
      <c r="D62" s="175"/>
      <c r="E62" s="175"/>
      <c r="F62" s="175"/>
      <c r="G62" s="175"/>
      <c r="H62" s="175"/>
      <c r="I62" s="175"/>
      <c r="J62" s="175"/>
      <c r="K62" s="175"/>
      <c r="L62" s="175"/>
      <c r="M62" s="175"/>
      <c r="N62" s="175"/>
      <c r="O62" s="175"/>
      <c r="P62" s="175"/>
      <c r="Q62" s="175"/>
      <c r="R62" s="175"/>
      <c r="S62" s="175"/>
      <c r="T62" s="175"/>
    </row>
    <row r="63" spans="2:23" ht="31.5" customHeight="1" x14ac:dyDescent="0.25">
      <c r="B63" s="236" t="s">
        <v>261</v>
      </c>
      <c r="C63" s="236"/>
      <c r="D63" s="236"/>
      <c r="E63" s="236"/>
      <c r="F63" s="236"/>
      <c r="G63" s="236"/>
      <c r="H63" s="236"/>
      <c r="I63" s="236"/>
      <c r="J63" s="236"/>
      <c r="K63" s="236"/>
      <c r="L63" s="236"/>
      <c r="M63" s="236"/>
      <c r="N63" s="236"/>
      <c r="O63" s="236"/>
      <c r="P63" s="236"/>
      <c r="Q63" s="236"/>
      <c r="R63" s="236"/>
      <c r="S63" s="236"/>
    </row>
    <row r="64" spans="2:23" x14ac:dyDescent="0.25">
      <c r="B64" t="s">
        <v>234</v>
      </c>
    </row>
    <row r="65" spans="2:23" ht="30.75" customHeight="1" x14ac:dyDescent="0.25">
      <c r="B65" s="228" t="s">
        <v>233</v>
      </c>
      <c r="C65" s="228"/>
      <c r="D65" s="228"/>
      <c r="E65" s="228"/>
      <c r="F65" s="228"/>
      <c r="G65" s="228"/>
      <c r="H65" s="228"/>
      <c r="I65" s="228"/>
      <c r="J65" s="228"/>
      <c r="K65" s="228"/>
      <c r="L65" s="228"/>
      <c r="M65" s="228"/>
      <c r="N65" s="228"/>
      <c r="O65" s="228"/>
      <c r="P65" s="228"/>
      <c r="Q65" s="228"/>
      <c r="R65" s="228"/>
      <c r="S65" s="228"/>
      <c r="T65" s="167"/>
      <c r="U65" s="167"/>
      <c r="V65" s="167"/>
      <c r="W65" s="167"/>
    </row>
    <row r="66" spans="2:23" x14ac:dyDescent="0.25">
      <c r="B66" s="236" t="s">
        <v>235</v>
      </c>
      <c r="C66" s="236"/>
      <c r="D66" s="236"/>
      <c r="E66" s="236"/>
      <c r="F66" s="236"/>
      <c r="G66" s="236"/>
      <c r="H66" s="236"/>
      <c r="I66" s="236"/>
      <c r="J66" s="236"/>
      <c r="K66" s="236"/>
      <c r="L66" s="236"/>
      <c r="M66" s="236"/>
      <c r="N66" s="236"/>
      <c r="O66" s="236"/>
      <c r="P66" s="236"/>
      <c r="Q66" s="236"/>
      <c r="R66" s="236"/>
      <c r="S66" s="236"/>
    </row>
    <row r="67" spans="2:23" ht="15" customHeight="1" x14ac:dyDescent="0.25">
      <c r="B67" t="s">
        <v>236</v>
      </c>
      <c r="T67" s="167"/>
      <c r="U67" s="167"/>
      <c r="V67" s="167"/>
      <c r="W67" s="167"/>
    </row>
    <row r="68" spans="2:23" x14ac:dyDescent="0.25">
      <c r="B68" s="165" t="s">
        <v>237</v>
      </c>
    </row>
    <row r="69" spans="2:23" x14ac:dyDescent="0.25">
      <c r="B69" s="165" t="s">
        <v>238</v>
      </c>
      <c r="Q69" s="167"/>
      <c r="R69" s="167"/>
    </row>
    <row r="70" spans="2:23" x14ac:dyDescent="0.25">
      <c r="B70" s="176" t="s">
        <v>239</v>
      </c>
    </row>
    <row r="72" spans="2:23" x14ac:dyDescent="0.25">
      <c r="B72" s="176"/>
    </row>
    <row r="74" spans="2:23" x14ac:dyDescent="0.25">
      <c r="B74" s="123"/>
    </row>
  </sheetData>
  <mergeCells count="13">
    <mergeCell ref="B63:S63"/>
    <mergeCell ref="B65:S65"/>
    <mergeCell ref="B66:S66"/>
    <mergeCell ref="B56:D56"/>
    <mergeCell ref="B1:V1"/>
    <mergeCell ref="D5:D6"/>
    <mergeCell ref="E5:E6"/>
    <mergeCell ref="F5:Q5"/>
    <mergeCell ref="R5:R6"/>
    <mergeCell ref="S5:S6"/>
    <mergeCell ref="T5:T6"/>
    <mergeCell ref="U5:U6"/>
    <mergeCell ref="V5:V6"/>
  </mergeCells>
  <pageMargins left="0.7" right="0.7" top="0.75" bottom="0.75" header="0.3" footer="0.3"/>
  <pageSetup paperSize="5" scale="37" orientation="landscape" r:id="rId1"/>
  <headerFooter>
    <oddFooter>&amp;L&amp;F&amp;C&amp;K000000Public&amp;RA-&amp;P</oddFooter>
  </headerFooter>
  <ignoredErrors>
    <ignoredError sqref="R31:R45 S8:S17 S21:S51 J17:K17" formulaRange="1"/>
    <ignoredError sqref="H9:I9 H15 I15 K15 K9" formula="1"/>
    <ignoredError sqref="H17:I17"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E5A0E-79B8-4E24-BFAA-1CB5C711FDFB}">
  <sheetPr>
    <pageSetUpPr fitToPage="1"/>
  </sheetPr>
  <dimension ref="B1:T60"/>
  <sheetViews>
    <sheetView showGridLines="0" view="pageBreakPreview" zoomScale="60" zoomScaleNormal="80" workbookViewId="0">
      <selection activeCell="D22" sqref="D22:U23"/>
    </sheetView>
  </sheetViews>
  <sheetFormatPr defaultRowHeight="15" x14ac:dyDescent="0.25"/>
  <cols>
    <col min="1" max="1" width="1.85546875" customWidth="1"/>
    <col min="2" max="2" width="68.85546875" customWidth="1"/>
    <col min="4" max="15" width="17.7109375" customWidth="1"/>
    <col min="16" max="16" width="19.7109375" customWidth="1"/>
    <col min="17" max="18" width="19.7109375" hidden="1" customWidth="1"/>
    <col min="19" max="19" width="15" hidden="1" customWidth="1"/>
  </cols>
  <sheetData>
    <row r="1" spans="2:20" ht="55.5" customHeight="1" x14ac:dyDescent="0.25">
      <c r="B1" s="229" t="s">
        <v>197</v>
      </c>
      <c r="C1" s="230"/>
      <c r="D1" s="230"/>
      <c r="E1" s="230"/>
      <c r="F1" s="230"/>
      <c r="G1" s="230"/>
      <c r="H1" s="230"/>
      <c r="I1" s="230"/>
      <c r="J1" s="230"/>
      <c r="K1" s="230"/>
      <c r="L1" s="230"/>
      <c r="M1" s="230"/>
      <c r="N1" s="230"/>
      <c r="O1" s="230"/>
      <c r="P1" s="230"/>
      <c r="Q1" s="230"/>
      <c r="R1" s="230"/>
      <c r="S1" s="230"/>
      <c r="T1" s="1"/>
    </row>
    <row r="2" spans="2:20" ht="12.75" customHeight="1" x14ac:dyDescent="0.25">
      <c r="B2" s="2" t="s">
        <v>51</v>
      </c>
      <c r="C2" s="1"/>
      <c r="D2" s="1"/>
      <c r="E2" s="1"/>
      <c r="F2" s="1"/>
      <c r="G2" s="1"/>
      <c r="H2" s="1"/>
      <c r="I2" s="1"/>
      <c r="J2" s="1"/>
      <c r="K2" s="1"/>
      <c r="L2" s="1"/>
      <c r="M2" s="1"/>
      <c r="N2" s="1"/>
      <c r="O2" s="1"/>
      <c r="P2" s="1"/>
      <c r="Q2" s="1"/>
      <c r="R2" s="1"/>
      <c r="S2" s="1"/>
      <c r="T2" s="1"/>
    </row>
    <row r="3" spans="2:20" ht="12.75" customHeight="1" x14ac:dyDescent="0.25">
      <c r="B3" s="2" t="s">
        <v>85</v>
      </c>
      <c r="C3" s="1"/>
      <c r="D3" s="1"/>
      <c r="E3" s="1"/>
      <c r="F3" s="1"/>
      <c r="G3" s="1"/>
      <c r="H3" s="1"/>
      <c r="I3" s="1"/>
      <c r="J3" s="1"/>
      <c r="K3" s="1"/>
      <c r="L3" s="1"/>
      <c r="M3" s="1"/>
      <c r="N3" s="1"/>
      <c r="O3" s="1"/>
      <c r="P3" s="1"/>
      <c r="Q3" s="1"/>
      <c r="R3" s="1"/>
      <c r="S3" s="1"/>
      <c r="T3" s="1"/>
    </row>
    <row r="4" spans="2:20" ht="12.75" customHeight="1" x14ac:dyDescent="0.25">
      <c r="B4" s="1"/>
      <c r="C4" s="1"/>
      <c r="D4" s="1"/>
      <c r="E4" s="1"/>
      <c r="F4" s="1"/>
      <c r="G4" s="1"/>
      <c r="H4" s="1"/>
      <c r="I4" s="1"/>
      <c r="J4" s="1"/>
      <c r="K4" s="1"/>
      <c r="L4" s="1"/>
      <c r="M4" s="1"/>
      <c r="N4" s="1"/>
      <c r="O4" s="1"/>
      <c r="P4" s="1"/>
      <c r="Q4" s="1"/>
      <c r="R4" s="1"/>
      <c r="S4" s="1"/>
      <c r="T4" s="1"/>
    </row>
    <row r="5" spans="2:20" ht="18" customHeight="1" x14ac:dyDescent="0.25">
      <c r="B5" s="1"/>
      <c r="C5" s="1"/>
      <c r="D5" s="231" t="s">
        <v>86</v>
      </c>
      <c r="E5" s="232"/>
      <c r="F5" s="232"/>
      <c r="G5" s="232"/>
      <c r="H5" s="232"/>
      <c r="I5" s="232"/>
      <c r="J5" s="232"/>
      <c r="K5" s="232"/>
      <c r="L5" s="232"/>
      <c r="M5" s="232"/>
      <c r="N5" s="232"/>
      <c r="O5" s="233"/>
      <c r="P5" s="242" t="s">
        <v>87</v>
      </c>
      <c r="Q5" s="244" t="s">
        <v>184</v>
      </c>
      <c r="R5" s="244" t="s">
        <v>88</v>
      </c>
      <c r="S5" s="246" t="s">
        <v>89</v>
      </c>
      <c r="T5" s="1"/>
    </row>
    <row r="6" spans="2:20" ht="40.5" customHeight="1" x14ac:dyDescent="0.25">
      <c r="B6" s="170" t="s">
        <v>90</v>
      </c>
      <c r="C6" s="1"/>
      <c r="D6" s="216" t="s">
        <v>53</v>
      </c>
      <c r="E6" s="217" t="s">
        <v>54</v>
      </c>
      <c r="F6" s="217" t="s">
        <v>55</v>
      </c>
      <c r="G6" s="217" t="s">
        <v>56</v>
      </c>
      <c r="H6" s="217" t="s">
        <v>57</v>
      </c>
      <c r="I6" s="217" t="s">
        <v>58</v>
      </c>
      <c r="J6" s="217" t="s">
        <v>66</v>
      </c>
      <c r="K6" s="217" t="s">
        <v>67</v>
      </c>
      <c r="L6" s="217" t="s">
        <v>68</v>
      </c>
      <c r="M6" s="217" t="s">
        <v>69</v>
      </c>
      <c r="N6" s="217" t="s">
        <v>70</v>
      </c>
      <c r="O6" s="218" t="s">
        <v>71</v>
      </c>
      <c r="P6" s="243"/>
      <c r="Q6" s="245"/>
      <c r="R6" s="245"/>
      <c r="S6" s="247"/>
      <c r="T6" s="1"/>
    </row>
    <row r="7" spans="2:20" ht="29.25" customHeight="1" x14ac:dyDescent="0.25">
      <c r="B7" s="62" t="s">
        <v>91</v>
      </c>
      <c r="C7" s="30"/>
      <c r="D7" s="30"/>
      <c r="E7" s="30"/>
      <c r="F7" s="30"/>
      <c r="G7" s="30"/>
      <c r="H7" s="30"/>
      <c r="I7" s="30"/>
      <c r="J7" s="30"/>
      <c r="K7" s="30"/>
      <c r="L7" s="30"/>
      <c r="M7" s="30"/>
      <c r="N7" s="30"/>
      <c r="O7" s="30"/>
      <c r="P7" s="30"/>
      <c r="Q7" s="30"/>
      <c r="R7" s="30"/>
      <c r="S7" s="32"/>
      <c r="T7" s="1"/>
    </row>
    <row r="8" spans="2:20" ht="12.75" customHeight="1" x14ac:dyDescent="0.25">
      <c r="B8" s="33" t="str">
        <f>API</f>
        <v>Agricultural &amp; Pumping Interruptible (API)</v>
      </c>
      <c r="C8" s="57"/>
      <c r="D8" s="73">
        <v>12621.32</v>
      </c>
      <c r="E8" s="73">
        <v>11445.929099999999</v>
      </c>
      <c r="F8" s="73">
        <v>15179.8703</v>
      </c>
      <c r="G8" s="73">
        <v>9197.27</v>
      </c>
      <c r="H8" s="73">
        <v>-39637.464899999999</v>
      </c>
      <c r="I8" s="73">
        <v>852.79740000000004</v>
      </c>
      <c r="J8" s="73"/>
      <c r="K8" s="73"/>
      <c r="L8" s="73"/>
      <c r="M8" s="73"/>
      <c r="N8" s="73"/>
      <c r="O8" s="73"/>
      <c r="P8" s="72">
        <f>SUM(D8:O8)</f>
        <v>9659.7219000000005</v>
      </c>
      <c r="Q8" s="107"/>
      <c r="R8" s="107"/>
      <c r="S8" s="114"/>
      <c r="T8" s="1"/>
    </row>
    <row r="9" spans="2:20" ht="12.75" customHeight="1" x14ac:dyDescent="0.25">
      <c r="B9" s="37" t="str">
        <f>BIPG</f>
        <v>Base Interruptible Program (BIP)</v>
      </c>
      <c r="C9" s="1"/>
      <c r="D9" s="77">
        <v>-147404.89830000012</v>
      </c>
      <c r="E9" s="77">
        <v>11188.4468</v>
      </c>
      <c r="F9" s="77">
        <v>16860.8092</v>
      </c>
      <c r="G9" s="77">
        <v>9654.4</v>
      </c>
      <c r="H9" s="77">
        <v>-37805.532399999996</v>
      </c>
      <c r="I9" s="77">
        <v>1735.3356000000001</v>
      </c>
      <c r="J9" s="77"/>
      <c r="K9" s="77"/>
      <c r="L9" s="77"/>
      <c r="M9" s="77"/>
      <c r="N9" s="77"/>
      <c r="O9" s="77"/>
      <c r="P9" s="76">
        <f t="shared" ref="P9:P15" si="0">SUM(D9:O9)</f>
        <v>-145771.43910000013</v>
      </c>
      <c r="Q9" s="109"/>
      <c r="R9" s="109"/>
      <c r="S9" s="115"/>
      <c r="T9" s="1"/>
    </row>
    <row r="10" spans="2:20" ht="12.75" customHeight="1" x14ac:dyDescent="0.25">
      <c r="B10" s="58" t="str">
        <f>BIP_I</f>
        <v>Base Interruptible Program (BIP) Incentives</v>
      </c>
      <c r="C10" s="1"/>
      <c r="D10" s="77">
        <v>159120.48000000001</v>
      </c>
      <c r="E10" s="77">
        <v>150844.23000000001</v>
      </c>
      <c r="F10" s="77">
        <v>0</v>
      </c>
      <c r="G10" s="211">
        <v>0</v>
      </c>
      <c r="H10" s="211">
        <v>166406.79999999999</v>
      </c>
      <c r="I10" s="211">
        <v>-152460.79</v>
      </c>
      <c r="J10" s="77"/>
      <c r="K10" s="77"/>
      <c r="L10" s="77"/>
      <c r="M10" s="77"/>
      <c r="N10" s="77"/>
      <c r="O10" s="77"/>
      <c r="P10" s="76">
        <f t="shared" si="0"/>
        <v>323910.71999999997</v>
      </c>
      <c r="Q10" s="109"/>
      <c r="R10" s="109"/>
      <c r="S10" s="115"/>
      <c r="T10" s="1"/>
    </row>
    <row r="11" spans="2:20" ht="12.75" customHeight="1" x14ac:dyDescent="0.25">
      <c r="B11" s="37" t="str">
        <f>CBPG</f>
        <v>Capacity Bidding Program (CBP)</v>
      </c>
      <c r="C11" s="1"/>
      <c r="D11" s="77">
        <v>12318.979300000099</v>
      </c>
      <c r="E11" s="77">
        <v>10570.2706</v>
      </c>
      <c r="F11" s="77">
        <v>8476.5743999999995</v>
      </c>
      <c r="G11" s="77">
        <v>5071.88</v>
      </c>
      <c r="H11" s="77">
        <v>-15337.7778</v>
      </c>
      <c r="I11" s="77">
        <v>488.49090000000001</v>
      </c>
      <c r="J11" s="77"/>
      <c r="K11" s="77"/>
      <c r="L11" s="77"/>
      <c r="M11" s="77"/>
      <c r="N11" s="77"/>
      <c r="O11" s="77"/>
      <c r="P11" s="76">
        <f t="shared" si="0"/>
        <v>21588.417400000093</v>
      </c>
      <c r="Q11" s="109"/>
      <c r="R11" s="109"/>
      <c r="S11" s="115"/>
      <c r="T11" s="1"/>
    </row>
    <row r="12" spans="2:20" ht="12.75" customHeight="1" x14ac:dyDescent="0.25">
      <c r="B12" s="58" t="str">
        <f>CBP_I</f>
        <v>Capacity Bidding Program (CBP) Incentives</v>
      </c>
      <c r="C12" s="1"/>
      <c r="D12" s="77">
        <v>176994.21</v>
      </c>
      <c r="E12" s="77">
        <v>-58680.28</v>
      </c>
      <c r="F12" s="77">
        <v>-146696.14000000001</v>
      </c>
      <c r="G12" s="211">
        <v>562.30999999999995</v>
      </c>
      <c r="H12" s="211">
        <v>-34514.57</v>
      </c>
      <c r="I12" s="211">
        <v>0</v>
      </c>
      <c r="J12" s="77"/>
      <c r="K12" s="77"/>
      <c r="L12" s="77"/>
      <c r="M12" s="77"/>
      <c r="N12" s="77"/>
      <c r="O12" s="77"/>
      <c r="P12" s="76">
        <f t="shared" si="0"/>
        <v>-62334.470000000016</v>
      </c>
      <c r="Q12" s="109"/>
      <c r="R12" s="109"/>
      <c r="S12" s="115"/>
      <c r="T12" s="1"/>
    </row>
    <row r="13" spans="2:20" ht="12.75" customHeight="1" x14ac:dyDescent="0.25">
      <c r="B13" s="37" t="str">
        <f>SEP</f>
        <v>Smart Energy Program (SEP)</v>
      </c>
      <c r="C13" s="1"/>
      <c r="D13" s="77">
        <v>45203.000800000002</v>
      </c>
      <c r="E13" s="77">
        <v>21285.617099999999</v>
      </c>
      <c r="F13" s="77">
        <v>26831.125899999999</v>
      </c>
      <c r="G13" s="77">
        <v>18616.330000000002</v>
      </c>
      <c r="H13" s="77">
        <v>-55107.137499999997</v>
      </c>
      <c r="I13" s="77">
        <v>7025.7313999999997</v>
      </c>
      <c r="J13" s="77"/>
      <c r="K13" s="77"/>
      <c r="L13" s="77"/>
      <c r="M13" s="77"/>
      <c r="N13" s="77"/>
      <c r="O13" s="77"/>
      <c r="P13" s="76">
        <f t="shared" si="0"/>
        <v>63854.667699999998</v>
      </c>
      <c r="Q13" s="109"/>
      <c r="R13" s="109"/>
      <c r="S13" s="115"/>
      <c r="T13" s="1"/>
    </row>
    <row r="14" spans="2:20" ht="12.75" customHeight="1" x14ac:dyDescent="0.25">
      <c r="B14" s="37" t="str">
        <f>SDPG</f>
        <v>Summer Discount Plan Program (SDP)</v>
      </c>
      <c r="C14" s="1"/>
      <c r="D14" s="77">
        <v>54324.59</v>
      </c>
      <c r="E14" s="77">
        <v>51209.140399999997</v>
      </c>
      <c r="F14" s="77">
        <v>56804.475200000001</v>
      </c>
      <c r="G14" s="77">
        <v>59160.639999999999</v>
      </c>
      <c r="H14" s="77">
        <v>-15610.6533</v>
      </c>
      <c r="I14" s="77">
        <v>15756.168299999999</v>
      </c>
      <c r="J14" s="77"/>
      <c r="K14" s="77"/>
      <c r="L14" s="77"/>
      <c r="M14" s="77"/>
      <c r="N14" s="77"/>
      <c r="O14" s="77"/>
      <c r="P14" s="76">
        <f t="shared" si="0"/>
        <v>221644.36059999999</v>
      </c>
      <c r="Q14" s="109"/>
      <c r="R14" s="109"/>
      <c r="S14" s="115"/>
      <c r="T14" s="1"/>
    </row>
    <row r="15" spans="2:20" ht="12.75" customHeight="1" x14ac:dyDescent="0.25">
      <c r="B15" s="59" t="str">
        <f>SDP_I</f>
        <v>Summer Discount Plan Program (SDP) Incentives</v>
      </c>
      <c r="C15" s="35"/>
      <c r="D15" s="81">
        <v>352750</v>
      </c>
      <c r="E15" s="77">
        <v>0</v>
      </c>
      <c r="F15" s="77">
        <v>0</v>
      </c>
      <c r="G15" s="211">
        <v>0</v>
      </c>
      <c r="H15" s="211">
        <v>0</v>
      </c>
      <c r="I15" s="211">
        <v>0</v>
      </c>
      <c r="J15" s="81"/>
      <c r="K15" s="81"/>
      <c r="L15" s="81"/>
      <c r="M15" s="81"/>
      <c r="N15" s="81"/>
      <c r="O15" s="81"/>
      <c r="P15" s="80">
        <f t="shared" si="0"/>
        <v>352750</v>
      </c>
      <c r="Q15" s="111"/>
      <c r="R15" s="111"/>
      <c r="S15" s="116"/>
      <c r="T15" s="1"/>
    </row>
    <row r="16" spans="2:20" ht="12.75" customHeight="1" x14ac:dyDescent="0.25">
      <c r="B16" s="36" t="s">
        <v>92</v>
      </c>
      <c r="C16" s="63"/>
      <c r="D16" s="83">
        <f t="shared" ref="D16:P16" si="1">SUM(D8:D15)</f>
        <v>665927.68180000002</v>
      </c>
      <c r="E16" s="83">
        <f t="shared" si="1"/>
        <v>197863.35400000002</v>
      </c>
      <c r="F16" s="83">
        <f t="shared" si="1"/>
        <v>-22543.285000000018</v>
      </c>
      <c r="G16" s="83">
        <f t="shared" si="1"/>
        <v>102262.83</v>
      </c>
      <c r="H16" s="83">
        <f t="shared" si="1"/>
        <v>-31606.335899999991</v>
      </c>
      <c r="I16" s="83">
        <f t="shared" si="1"/>
        <v>-126602.26640000001</v>
      </c>
      <c r="J16" s="83">
        <f t="shared" si="1"/>
        <v>0</v>
      </c>
      <c r="K16" s="83">
        <f t="shared" si="1"/>
        <v>0</v>
      </c>
      <c r="L16" s="83">
        <f t="shared" si="1"/>
        <v>0</v>
      </c>
      <c r="M16" s="83">
        <f t="shared" si="1"/>
        <v>0</v>
      </c>
      <c r="N16" s="83">
        <f t="shared" si="1"/>
        <v>0</v>
      </c>
      <c r="O16" s="83">
        <f t="shared" si="1"/>
        <v>0</v>
      </c>
      <c r="P16" s="83">
        <f t="shared" si="1"/>
        <v>785301.97849999985</v>
      </c>
      <c r="Q16" s="64"/>
      <c r="R16" s="113"/>
      <c r="S16" s="122" t="e">
        <f>#REF!/SUM(Q16:R16)</f>
        <v>#REF!</v>
      </c>
      <c r="T16" s="1"/>
    </row>
    <row r="17" spans="2:20" ht="12.75" customHeight="1" x14ac:dyDescent="0.25">
      <c r="B17" s="1"/>
      <c r="C17" s="1"/>
      <c r="D17" s="77"/>
      <c r="E17" s="77"/>
      <c r="F17" s="77"/>
      <c r="G17" s="77"/>
      <c r="H17" s="77"/>
      <c r="I17" s="77"/>
      <c r="J17" s="77"/>
      <c r="K17" s="77"/>
      <c r="L17" s="77"/>
      <c r="M17" s="77"/>
      <c r="N17" s="77"/>
      <c r="O17" s="77"/>
      <c r="P17" s="77"/>
      <c r="Q17" s="110"/>
      <c r="R17" s="110"/>
      <c r="S17" s="1"/>
      <c r="T17" s="1"/>
    </row>
    <row r="18" spans="2:20" ht="25.5" customHeight="1" x14ac:dyDescent="0.25">
      <c r="B18" s="55" t="s">
        <v>93</v>
      </c>
      <c r="C18" s="1"/>
      <c r="D18" s="77"/>
      <c r="E18" s="77"/>
      <c r="F18" s="77"/>
      <c r="G18" s="77"/>
      <c r="H18" s="77"/>
      <c r="I18" s="77"/>
      <c r="J18" s="77"/>
      <c r="K18" s="77"/>
      <c r="L18" s="77"/>
      <c r="M18" s="77"/>
      <c r="N18" s="77"/>
      <c r="O18" s="77"/>
      <c r="P18" s="77"/>
      <c r="Q18" s="110"/>
      <c r="R18" s="110"/>
      <c r="S18" s="1"/>
      <c r="T18" s="1"/>
    </row>
    <row r="19" spans="2:20" ht="12.75" customHeight="1" x14ac:dyDescent="0.25">
      <c r="B19" s="33" t="str">
        <f>ROTO</f>
        <v>Rotating Outages (RO)</v>
      </c>
      <c r="C19" s="57"/>
      <c r="D19" s="73">
        <v>-2.27</v>
      </c>
      <c r="E19" s="73">
        <v>0</v>
      </c>
      <c r="F19" s="73">
        <v>0</v>
      </c>
      <c r="G19" s="73">
        <v>0</v>
      </c>
      <c r="H19" s="73">
        <v>0</v>
      </c>
      <c r="I19" s="73">
        <v>0</v>
      </c>
      <c r="J19" s="73"/>
      <c r="K19" s="73"/>
      <c r="L19" s="73"/>
      <c r="M19" s="73"/>
      <c r="N19" s="73"/>
      <c r="O19" s="73"/>
      <c r="P19" s="200">
        <f t="shared" ref="P19" si="2">SUM(D19:O19)</f>
        <v>-2.27</v>
      </c>
      <c r="Q19" s="107"/>
      <c r="R19" s="107"/>
      <c r="S19" s="114"/>
      <c r="T19" s="1"/>
    </row>
    <row r="20" spans="2:20" ht="12.75" customHeight="1" x14ac:dyDescent="0.25">
      <c r="B20" s="36" t="s">
        <v>94</v>
      </c>
      <c r="C20" s="63"/>
      <c r="D20" s="83">
        <f t="shared" ref="D20:P20" si="3">SUM(D19:D19)</f>
        <v>-2.27</v>
      </c>
      <c r="E20" s="83">
        <f t="shared" si="3"/>
        <v>0</v>
      </c>
      <c r="F20" s="83">
        <f t="shared" si="3"/>
        <v>0</v>
      </c>
      <c r="G20" s="83">
        <f t="shared" si="3"/>
        <v>0</v>
      </c>
      <c r="H20" s="83">
        <v>0</v>
      </c>
      <c r="I20" s="83">
        <f t="shared" si="3"/>
        <v>0</v>
      </c>
      <c r="J20" s="83">
        <f t="shared" si="3"/>
        <v>0</v>
      </c>
      <c r="K20" s="83">
        <f t="shared" si="3"/>
        <v>0</v>
      </c>
      <c r="L20" s="83">
        <f t="shared" si="3"/>
        <v>0</v>
      </c>
      <c r="M20" s="83">
        <f t="shared" si="3"/>
        <v>0</v>
      </c>
      <c r="N20" s="83">
        <f t="shared" si="3"/>
        <v>0</v>
      </c>
      <c r="O20" s="83">
        <f t="shared" si="3"/>
        <v>0</v>
      </c>
      <c r="P20" s="83">
        <f t="shared" si="3"/>
        <v>-2.27</v>
      </c>
      <c r="Q20" s="64"/>
      <c r="R20" s="113"/>
      <c r="S20" s="122" t="e">
        <f>#REF!/SUM(Q20:R20)</f>
        <v>#REF!</v>
      </c>
      <c r="T20" s="1"/>
    </row>
    <row r="21" spans="2:20" ht="12.75" customHeight="1" x14ac:dyDescent="0.25">
      <c r="B21" s="1"/>
      <c r="C21" s="1"/>
      <c r="D21" s="77"/>
      <c r="E21" s="77"/>
      <c r="F21" s="77"/>
      <c r="G21" s="77"/>
      <c r="H21" s="77"/>
      <c r="I21" s="77"/>
      <c r="J21" s="77"/>
      <c r="K21" s="77"/>
      <c r="L21" s="77"/>
      <c r="M21" s="77"/>
      <c r="N21" s="77"/>
      <c r="O21" s="77"/>
      <c r="P21" s="77"/>
      <c r="Q21" s="110"/>
      <c r="R21" s="110"/>
      <c r="S21" s="1"/>
      <c r="T21" s="1"/>
    </row>
    <row r="22" spans="2:20" ht="40.5" customHeight="1" x14ac:dyDescent="0.25">
      <c r="B22" s="55" t="s">
        <v>95</v>
      </c>
      <c r="C22" s="1"/>
      <c r="D22" s="77"/>
      <c r="E22" s="77"/>
      <c r="F22" s="77"/>
      <c r="G22" s="77"/>
      <c r="H22" s="77"/>
      <c r="I22" s="77"/>
      <c r="J22" s="77"/>
      <c r="K22" s="77"/>
      <c r="L22" s="77"/>
      <c r="M22" s="77"/>
      <c r="N22" s="77"/>
      <c r="O22" s="77"/>
      <c r="P22" s="77"/>
      <c r="Q22" s="110"/>
      <c r="R22" s="110"/>
      <c r="S22" s="1"/>
      <c r="T22" s="1"/>
    </row>
    <row r="23" spans="2:20" ht="12.75" customHeight="1" x14ac:dyDescent="0.25">
      <c r="B23" s="33" t="str">
        <f>DRAM</f>
        <v>Demand Response Auction Mechanism (DRAM)</v>
      </c>
      <c r="C23" s="57"/>
      <c r="D23" s="73">
        <v>52871.289999999979</v>
      </c>
      <c r="E23" s="73">
        <v>-1294915.28</v>
      </c>
      <c r="F23" s="73">
        <v>192584.32000000001</v>
      </c>
      <c r="G23" s="73">
        <v>1032097.87</v>
      </c>
      <c r="H23" s="73">
        <v>-699798.94</v>
      </c>
      <c r="I23" s="73">
        <v>455770.61</v>
      </c>
      <c r="J23" s="73"/>
      <c r="K23" s="73"/>
      <c r="L23" s="73"/>
      <c r="M23" s="73"/>
      <c r="N23" s="73"/>
      <c r="O23" s="73"/>
      <c r="P23" s="72">
        <f t="shared" ref="P23:P24" si="4">SUM(D23:O23)</f>
        <v>-261390.12999999989</v>
      </c>
      <c r="Q23" s="107"/>
      <c r="R23" s="107"/>
      <c r="S23" s="114" t="e">
        <f>#REF!/SUM(Q23:R23)</f>
        <v>#REF!</v>
      </c>
      <c r="T23" s="1"/>
    </row>
    <row r="24" spans="2:20" ht="12.75" customHeight="1" x14ac:dyDescent="0.25">
      <c r="B24" s="34" t="str">
        <f>DRR_24</f>
        <v>DR Rule 24</v>
      </c>
      <c r="C24" s="35"/>
      <c r="D24" s="81">
        <v>2455.41</v>
      </c>
      <c r="E24" s="81">
        <v>8095.96</v>
      </c>
      <c r="F24" s="81">
        <v>8543.51</v>
      </c>
      <c r="G24" s="81">
        <v>-328.56</v>
      </c>
      <c r="H24" s="81">
        <v>-19356.98</v>
      </c>
      <c r="I24" s="81">
        <v>0</v>
      </c>
      <c r="J24" s="81"/>
      <c r="K24" s="81"/>
      <c r="L24" s="81"/>
      <c r="M24" s="81"/>
      <c r="N24" s="81"/>
      <c r="O24" s="81"/>
      <c r="P24" s="80">
        <f t="shared" si="4"/>
        <v>-590.66000000000349</v>
      </c>
      <c r="Q24" s="111"/>
      <c r="R24" s="111"/>
      <c r="S24" s="116" t="e">
        <f>#REF!/SUM(Q24:R24)</f>
        <v>#REF!</v>
      </c>
      <c r="T24" s="1"/>
    </row>
    <row r="25" spans="2:20" ht="12.75" customHeight="1" x14ac:dyDescent="0.25">
      <c r="B25" s="36" t="s">
        <v>96</v>
      </c>
      <c r="C25" s="63"/>
      <c r="D25" s="83">
        <f t="shared" ref="D25:Q25" si="5">SUM(D23:D24)</f>
        <v>55326.699999999983</v>
      </c>
      <c r="E25" s="83">
        <f t="shared" si="5"/>
        <v>-1286819.32</v>
      </c>
      <c r="F25" s="83">
        <f t="shared" si="5"/>
        <v>201127.83000000002</v>
      </c>
      <c r="G25" s="83">
        <f t="shared" si="5"/>
        <v>1031769.3099999999</v>
      </c>
      <c r="H25" s="83">
        <f t="shared" si="5"/>
        <v>-719155.91999999993</v>
      </c>
      <c r="I25" s="83">
        <f t="shared" si="5"/>
        <v>455770.61</v>
      </c>
      <c r="J25" s="83">
        <f t="shared" si="5"/>
        <v>0</v>
      </c>
      <c r="K25" s="83">
        <f t="shared" si="5"/>
        <v>0</v>
      </c>
      <c r="L25" s="83">
        <f t="shared" si="5"/>
        <v>0</v>
      </c>
      <c r="M25" s="83">
        <f t="shared" si="5"/>
        <v>0</v>
      </c>
      <c r="N25" s="83">
        <f t="shared" si="5"/>
        <v>0</v>
      </c>
      <c r="O25" s="83">
        <f t="shared" si="5"/>
        <v>0</v>
      </c>
      <c r="P25" s="83">
        <f t="shared" si="5"/>
        <v>-261980.78999999989</v>
      </c>
      <c r="Q25" s="64">
        <f t="shared" si="5"/>
        <v>0</v>
      </c>
      <c r="R25" s="113"/>
      <c r="S25" s="122" t="e">
        <f>#REF!/SUM(Q25:R25)</f>
        <v>#REF!</v>
      </c>
      <c r="T25" s="1"/>
    </row>
    <row r="26" spans="2:20" ht="12.75" customHeight="1" x14ac:dyDescent="0.25">
      <c r="B26" s="1"/>
      <c r="C26" s="1"/>
      <c r="D26" s="77"/>
      <c r="E26" s="77"/>
      <c r="F26" s="77"/>
      <c r="G26" s="77"/>
      <c r="H26" s="77"/>
      <c r="I26" s="77"/>
      <c r="J26" s="77"/>
      <c r="K26" s="77"/>
      <c r="L26" s="77"/>
      <c r="M26" s="77"/>
      <c r="N26" s="77"/>
      <c r="O26" s="77"/>
      <c r="P26" s="77"/>
      <c r="Q26" s="110"/>
      <c r="R26" s="110"/>
      <c r="S26" s="1"/>
      <c r="T26" s="1"/>
    </row>
    <row r="27" spans="2:20" ht="27" customHeight="1" x14ac:dyDescent="0.25">
      <c r="B27" s="55" t="s">
        <v>97</v>
      </c>
      <c r="C27" s="1"/>
      <c r="D27" s="77"/>
      <c r="E27" s="77"/>
      <c r="F27" s="77"/>
      <c r="G27" s="77"/>
      <c r="H27" s="77"/>
      <c r="I27" s="77"/>
      <c r="J27" s="77"/>
      <c r="K27" s="77"/>
      <c r="L27" s="77"/>
      <c r="M27" s="77"/>
      <c r="N27" s="77"/>
      <c r="O27" s="77"/>
      <c r="P27" s="77"/>
      <c r="Q27" s="110"/>
      <c r="R27" s="110"/>
      <c r="S27" s="1"/>
      <c r="T27" s="1"/>
    </row>
    <row r="28" spans="2:20" ht="12.75" customHeight="1" x14ac:dyDescent="0.25">
      <c r="B28" s="33" t="str">
        <f>EMT</f>
        <v>Emerging Markets and Technology</v>
      </c>
      <c r="C28" s="57"/>
      <c r="D28" s="73">
        <v>33083.21</v>
      </c>
      <c r="E28" s="73">
        <v>-21936.2703</v>
      </c>
      <c r="F28" s="73">
        <v>96830.761100000003</v>
      </c>
      <c r="G28" s="73">
        <v>8446.7999999999993</v>
      </c>
      <c r="H28" s="73">
        <v>-72222.146599999993</v>
      </c>
      <c r="I28" s="73">
        <v>-608.54650000000004</v>
      </c>
      <c r="J28" s="73"/>
      <c r="K28" s="73"/>
      <c r="L28" s="73"/>
      <c r="M28" s="73"/>
      <c r="N28" s="73"/>
      <c r="O28" s="73"/>
      <c r="P28" s="72">
        <f t="shared" ref="P28:P29" si="6">SUM(D28:O28)</f>
        <v>43593.807700000019</v>
      </c>
      <c r="Q28" s="107"/>
      <c r="R28" s="107"/>
      <c r="S28" s="114" t="e">
        <f>#REF!/SUM(Q28:R28)</f>
        <v>#REF!</v>
      </c>
      <c r="T28" s="1"/>
    </row>
    <row r="29" spans="2:20" ht="12.75" customHeight="1" x14ac:dyDescent="0.25">
      <c r="B29" s="34" t="str">
        <f>TIP</f>
        <v>Technology Incentive Program (AutoDR-TI)</v>
      </c>
      <c r="C29" s="35"/>
      <c r="D29" s="81">
        <v>187838.74</v>
      </c>
      <c r="E29" s="81">
        <v>142380.5404</v>
      </c>
      <c r="F29" s="81">
        <v>49272.277399999999</v>
      </c>
      <c r="G29" s="81">
        <v>-4705.8100000000004</v>
      </c>
      <c r="H29" s="81">
        <v>-45791.8001</v>
      </c>
      <c r="I29" s="81">
        <v>249558.80530000001</v>
      </c>
      <c r="J29" s="81"/>
      <c r="K29" s="81"/>
      <c r="L29" s="81"/>
      <c r="M29" s="81"/>
      <c r="N29" s="81"/>
      <c r="O29" s="81"/>
      <c r="P29" s="80">
        <f t="shared" si="6"/>
        <v>578552.75300000003</v>
      </c>
      <c r="Q29" s="111"/>
      <c r="R29" s="111"/>
      <c r="S29" s="116"/>
      <c r="T29" s="1"/>
    </row>
    <row r="30" spans="2:20" ht="12.75" customHeight="1" x14ac:dyDescent="0.25">
      <c r="B30" s="36" t="s">
        <v>98</v>
      </c>
      <c r="C30" s="63"/>
      <c r="D30" s="83">
        <f t="shared" ref="D30:P30" si="7">SUM(D28:D29)</f>
        <v>220921.94999999998</v>
      </c>
      <c r="E30" s="83">
        <f t="shared" si="7"/>
        <v>120444.27009999999</v>
      </c>
      <c r="F30" s="83">
        <f t="shared" si="7"/>
        <v>146103.0385</v>
      </c>
      <c r="G30" s="83">
        <f t="shared" si="7"/>
        <v>3740.9899999999989</v>
      </c>
      <c r="H30" s="83">
        <f t="shared" si="7"/>
        <v>-118013.9467</v>
      </c>
      <c r="I30" s="83">
        <f t="shared" si="7"/>
        <v>248950.25880000001</v>
      </c>
      <c r="J30" s="83">
        <f t="shared" si="7"/>
        <v>0</v>
      </c>
      <c r="K30" s="83">
        <f t="shared" si="7"/>
        <v>0</v>
      </c>
      <c r="L30" s="83">
        <f t="shared" si="7"/>
        <v>0</v>
      </c>
      <c r="M30" s="83">
        <f t="shared" si="7"/>
        <v>0</v>
      </c>
      <c r="N30" s="83">
        <f t="shared" si="7"/>
        <v>0</v>
      </c>
      <c r="O30" s="83">
        <f t="shared" si="7"/>
        <v>0</v>
      </c>
      <c r="P30" s="83">
        <f t="shared" si="7"/>
        <v>622146.56070000003</v>
      </c>
      <c r="Q30" s="64"/>
      <c r="R30" s="113"/>
      <c r="S30" s="122" t="e">
        <f>#REF!/SUM(Q30:R30)</f>
        <v>#REF!</v>
      </c>
      <c r="T30" s="1"/>
    </row>
    <row r="31" spans="2:20" ht="12.75" customHeight="1" x14ac:dyDescent="0.25">
      <c r="B31" s="1"/>
      <c r="C31" s="1"/>
      <c r="D31" s="77"/>
      <c r="E31" s="77"/>
      <c r="F31" s="77"/>
      <c r="G31" s="77"/>
      <c r="H31" s="77"/>
      <c r="I31" s="77"/>
      <c r="J31" s="77"/>
      <c r="K31" s="77"/>
      <c r="L31" s="77"/>
      <c r="M31" s="77"/>
      <c r="N31" s="77"/>
      <c r="O31" s="77"/>
      <c r="P31" s="77"/>
      <c r="Q31" s="110"/>
      <c r="R31" s="110"/>
      <c r="S31" s="1"/>
      <c r="T31" s="1"/>
    </row>
    <row r="32" spans="2:20" ht="12.75" customHeight="1" x14ac:dyDescent="0.25">
      <c r="B32" s="29" t="s">
        <v>99</v>
      </c>
      <c r="C32" s="1"/>
      <c r="D32" s="77"/>
      <c r="E32" s="77"/>
      <c r="F32" s="77"/>
      <c r="G32" s="77"/>
      <c r="H32" s="77"/>
      <c r="I32" s="77"/>
      <c r="J32" s="77"/>
      <c r="K32" s="77"/>
      <c r="L32" s="77"/>
      <c r="M32" s="77"/>
      <c r="N32" s="77"/>
      <c r="O32" s="77"/>
      <c r="P32" s="77"/>
      <c r="Q32" s="110"/>
      <c r="R32" s="110"/>
      <c r="S32" s="1"/>
      <c r="T32" s="1"/>
    </row>
    <row r="33" spans="2:20" ht="12.75" customHeight="1" x14ac:dyDescent="0.25">
      <c r="B33" s="33" t="str">
        <f>CLCP</f>
        <v>Constrained Local Capacity Planning Areas &amp; Disadvantaged Communities Pilot</v>
      </c>
      <c r="C33" s="57"/>
      <c r="D33" s="73">
        <v>-1625.91</v>
      </c>
      <c r="E33" s="73">
        <v>250</v>
      </c>
      <c r="F33" s="73">
        <v>0</v>
      </c>
      <c r="G33" s="73">
        <v>1590.33</v>
      </c>
      <c r="H33" s="73">
        <v>1547.28</v>
      </c>
      <c r="I33" s="73">
        <v>539.04</v>
      </c>
      <c r="J33" s="73"/>
      <c r="K33" s="73"/>
      <c r="L33" s="73"/>
      <c r="M33" s="73"/>
      <c r="N33" s="73"/>
      <c r="O33" s="73"/>
      <c r="P33" s="72">
        <f t="shared" ref="P33:P35" si="8">SUM(D33:O33)</f>
        <v>2300.7399999999998</v>
      </c>
      <c r="Q33" s="110"/>
      <c r="R33" s="110"/>
      <c r="S33" s="1"/>
      <c r="T33" s="1"/>
    </row>
    <row r="34" spans="2:20" ht="12.75" customHeight="1" x14ac:dyDescent="0.25">
      <c r="B34" s="37" t="str">
        <f>VPP</f>
        <v>Virtual Power Plant (VPP) Pilot</v>
      </c>
      <c r="C34" s="166"/>
      <c r="D34" s="201">
        <v>13648.41</v>
      </c>
      <c r="E34" s="201">
        <v>13537.42</v>
      </c>
      <c r="F34" s="201">
        <v>18634.21</v>
      </c>
      <c r="G34" s="201">
        <v>12277.34</v>
      </c>
      <c r="H34" s="201">
        <v>-50777.78</v>
      </c>
      <c r="I34" s="201">
        <v>37854.800000000003</v>
      </c>
      <c r="J34" s="201"/>
      <c r="K34" s="201"/>
      <c r="L34" s="201"/>
      <c r="M34" s="201"/>
      <c r="N34" s="201"/>
      <c r="O34" s="201"/>
      <c r="P34" s="202">
        <f t="shared" si="8"/>
        <v>45174.400000000009</v>
      </c>
      <c r="Q34" s="109"/>
      <c r="R34" s="109"/>
      <c r="S34" s="115"/>
      <c r="T34" s="1"/>
    </row>
    <row r="35" spans="2:20" ht="12.75" customHeight="1" x14ac:dyDescent="0.25">
      <c r="B35" s="37" t="s">
        <v>108</v>
      </c>
      <c r="C35" s="1"/>
      <c r="D35" s="77">
        <v>-2.74</v>
      </c>
      <c r="E35" s="77">
        <v>0</v>
      </c>
      <c r="F35" s="77">
        <v>0</v>
      </c>
      <c r="G35" s="77">
        <v>0</v>
      </c>
      <c r="H35" s="77">
        <v>0</v>
      </c>
      <c r="I35" s="77">
        <v>0</v>
      </c>
      <c r="J35" s="77"/>
      <c r="K35" s="77"/>
      <c r="L35" s="77"/>
      <c r="M35" s="77"/>
      <c r="N35" s="77"/>
      <c r="O35" s="77"/>
      <c r="P35" s="80">
        <f t="shared" si="8"/>
        <v>-2.74</v>
      </c>
      <c r="Q35" s="109"/>
      <c r="R35" s="109"/>
      <c r="S35" s="115"/>
      <c r="T35" s="1"/>
    </row>
    <row r="36" spans="2:20" ht="12.75" customHeight="1" x14ac:dyDescent="0.25">
      <c r="B36" s="36" t="s">
        <v>100</v>
      </c>
      <c r="C36" s="63"/>
      <c r="D36" s="83">
        <f>SUM(D33:D35)</f>
        <v>12019.76</v>
      </c>
      <c r="E36" s="83">
        <f>SUM(E33:E35)</f>
        <v>13787.42</v>
      </c>
      <c r="F36" s="83">
        <f t="shared" ref="F36:O36" si="9">SUM(F33:F35)</f>
        <v>18634.21</v>
      </c>
      <c r="G36" s="83">
        <f t="shared" si="9"/>
        <v>13867.67</v>
      </c>
      <c r="H36" s="83">
        <f t="shared" si="9"/>
        <v>-49230.5</v>
      </c>
      <c r="I36" s="83">
        <f t="shared" si="9"/>
        <v>38393.840000000004</v>
      </c>
      <c r="J36" s="83">
        <f t="shared" si="9"/>
        <v>0</v>
      </c>
      <c r="K36" s="83">
        <f t="shared" si="9"/>
        <v>0</v>
      </c>
      <c r="L36" s="83">
        <f t="shared" si="9"/>
        <v>0</v>
      </c>
      <c r="M36" s="83">
        <f t="shared" si="9"/>
        <v>0</v>
      </c>
      <c r="N36" s="83">
        <f t="shared" si="9"/>
        <v>0</v>
      </c>
      <c r="O36" s="83">
        <f t="shared" si="9"/>
        <v>0</v>
      </c>
      <c r="P36" s="83">
        <f>SUM(P33:P35)</f>
        <v>47472.400000000009</v>
      </c>
      <c r="Q36" s="64"/>
      <c r="R36" s="113"/>
      <c r="S36" s="122" t="e">
        <f>#REF!/SUM(Q36:R36)</f>
        <v>#REF!</v>
      </c>
      <c r="T36" s="1"/>
    </row>
    <row r="37" spans="2:20" ht="12.75" customHeight="1" x14ac:dyDescent="0.25">
      <c r="B37" s="1"/>
      <c r="C37" s="1"/>
      <c r="D37" s="77"/>
      <c r="E37" s="77"/>
      <c r="F37" s="77"/>
      <c r="G37" s="77"/>
      <c r="H37" s="77"/>
      <c r="I37" s="77"/>
      <c r="J37" s="77"/>
      <c r="K37" s="77"/>
      <c r="L37" s="77"/>
      <c r="M37" s="77"/>
      <c r="N37" s="77"/>
      <c r="O37" s="77"/>
      <c r="P37" s="77"/>
      <c r="Q37" s="110"/>
      <c r="R37" s="110"/>
      <c r="S37" s="1"/>
      <c r="T37" s="1"/>
    </row>
    <row r="38" spans="2:20" ht="29.25" customHeight="1" x14ac:dyDescent="0.25">
      <c r="B38" s="55" t="s">
        <v>101</v>
      </c>
      <c r="C38" s="1"/>
      <c r="D38" s="77"/>
      <c r="E38" s="77"/>
      <c r="F38" s="77"/>
      <c r="G38" s="77"/>
      <c r="H38" s="77"/>
      <c r="I38" s="77"/>
      <c r="J38" s="77"/>
      <c r="K38" s="77"/>
      <c r="L38" s="77"/>
      <c r="M38" s="77"/>
      <c r="N38" s="77"/>
      <c r="O38" s="77"/>
      <c r="P38" s="77"/>
      <c r="Q38" s="110"/>
      <c r="R38" s="110"/>
      <c r="S38" s="1"/>
      <c r="T38" s="1"/>
    </row>
    <row r="39" spans="2:20" ht="12.75" customHeight="1" x14ac:dyDescent="0.25">
      <c r="B39" s="33" t="str">
        <f>OLM</f>
        <v>Other Local Marketing</v>
      </c>
      <c r="C39" s="57"/>
      <c r="D39" s="73">
        <v>27417.64</v>
      </c>
      <c r="E39" s="73">
        <v>-22913.59</v>
      </c>
      <c r="F39" s="73">
        <v>5529.93</v>
      </c>
      <c r="G39" s="73">
        <v>347178.37</v>
      </c>
      <c r="H39" s="73">
        <v>-429.75</v>
      </c>
      <c r="I39" s="73">
        <v>4026.34</v>
      </c>
      <c r="J39" s="73"/>
      <c r="K39" s="73"/>
      <c r="L39" s="73"/>
      <c r="M39" s="73"/>
      <c r="N39" s="73"/>
      <c r="O39" s="73"/>
      <c r="P39" s="72">
        <f t="shared" ref="P39:P40" si="10">SUM(D39:O39)</f>
        <v>360808.94</v>
      </c>
      <c r="Q39" s="107"/>
      <c r="R39" s="107"/>
      <c r="S39" s="114" t="e">
        <f>#REF!/SUM(Q39:R39)</f>
        <v>#REF!</v>
      </c>
      <c r="T39" s="1"/>
    </row>
    <row r="40" spans="2:20" ht="12.75" customHeight="1" x14ac:dyDescent="0.25">
      <c r="B40" s="34" t="str">
        <f>CPP</f>
        <v>Critical Peak Pricing (CPP)</v>
      </c>
      <c r="C40" s="35"/>
      <c r="D40" s="81">
        <v>0</v>
      </c>
      <c r="E40" s="81">
        <v>85.44</v>
      </c>
      <c r="F40" s="81">
        <v>-201040</v>
      </c>
      <c r="G40" s="81">
        <v>143992.69</v>
      </c>
      <c r="H40" s="81">
        <v>35563.160000000003</v>
      </c>
      <c r="I40" s="81">
        <v>-1945.73</v>
      </c>
      <c r="J40" s="81"/>
      <c r="K40" s="81"/>
      <c r="L40" s="81"/>
      <c r="M40" s="81"/>
      <c r="N40" s="81"/>
      <c r="O40" s="81"/>
      <c r="P40" s="80">
        <f t="shared" si="10"/>
        <v>-23344.439999999991</v>
      </c>
      <c r="Q40" s="107"/>
      <c r="R40" s="107"/>
      <c r="S40" s="114"/>
      <c r="T40" s="1"/>
    </row>
    <row r="41" spans="2:20" ht="12.75" customHeight="1" x14ac:dyDescent="0.25">
      <c r="B41" s="36" t="s">
        <v>103</v>
      </c>
      <c r="C41" s="63"/>
      <c r="D41" s="83">
        <f>SUM(D39:D40)</f>
        <v>27417.64</v>
      </c>
      <c r="E41" s="83">
        <f>SUM(E39:E40)</f>
        <v>-22828.15</v>
      </c>
      <c r="F41" s="83">
        <f t="shared" ref="F41:O41" si="11">SUM(F39:F40)</f>
        <v>-195510.07</v>
      </c>
      <c r="G41" s="83">
        <f t="shared" si="11"/>
        <v>491171.06</v>
      </c>
      <c r="H41" s="83">
        <f t="shared" si="11"/>
        <v>35133.410000000003</v>
      </c>
      <c r="I41" s="83">
        <f t="shared" si="11"/>
        <v>2080.61</v>
      </c>
      <c r="J41" s="83">
        <f t="shared" si="11"/>
        <v>0</v>
      </c>
      <c r="K41" s="83">
        <f t="shared" si="11"/>
        <v>0</v>
      </c>
      <c r="L41" s="83">
        <f t="shared" si="11"/>
        <v>0</v>
      </c>
      <c r="M41" s="83">
        <f t="shared" si="11"/>
        <v>0</v>
      </c>
      <c r="N41" s="83">
        <f t="shared" si="11"/>
        <v>0</v>
      </c>
      <c r="O41" s="83">
        <f t="shared" si="11"/>
        <v>0</v>
      </c>
      <c r="P41" s="83">
        <f>SUM(P39:P40)</f>
        <v>337464.5</v>
      </c>
      <c r="Q41" s="64"/>
      <c r="R41" s="113"/>
      <c r="S41" s="122" t="e">
        <f>#REF!/SUM(Q41:R41)</f>
        <v>#REF!</v>
      </c>
      <c r="T41" s="1"/>
    </row>
    <row r="42" spans="2:20" ht="12.75" customHeight="1" x14ac:dyDescent="0.25">
      <c r="B42" s="1"/>
      <c r="C42" s="1"/>
      <c r="D42" s="77"/>
      <c r="E42" s="77"/>
      <c r="F42" s="77"/>
      <c r="G42" s="77"/>
      <c r="H42" s="77"/>
      <c r="I42" s="77"/>
      <c r="J42" s="77"/>
      <c r="K42" s="77"/>
      <c r="L42" s="77"/>
      <c r="M42" s="77"/>
      <c r="N42" s="77"/>
      <c r="O42" s="77"/>
      <c r="P42" s="77"/>
      <c r="Q42" s="110"/>
      <c r="R42" s="110"/>
      <c r="S42" s="1"/>
      <c r="T42" s="1"/>
    </row>
    <row r="43" spans="2:20" ht="25.5" customHeight="1" x14ac:dyDescent="0.25">
      <c r="B43" s="55" t="s">
        <v>104</v>
      </c>
      <c r="C43" s="1"/>
      <c r="D43" s="77"/>
      <c r="E43" s="77"/>
      <c r="F43" s="77"/>
      <c r="G43" s="77"/>
      <c r="H43" s="77"/>
      <c r="I43" s="77"/>
      <c r="J43" s="77"/>
      <c r="K43" s="77"/>
      <c r="L43" s="77"/>
      <c r="M43" s="77"/>
      <c r="N43" s="77"/>
      <c r="O43" s="77"/>
      <c r="P43" s="77"/>
      <c r="Q43" s="110"/>
      <c r="R43" s="110"/>
      <c r="S43" s="1"/>
      <c r="T43" s="1"/>
    </row>
    <row r="44" spans="2:20" x14ac:dyDescent="0.25">
      <c r="B44" s="33" t="str">
        <f>DRPS</f>
        <v>DR Potential Study</v>
      </c>
      <c r="C44" s="57"/>
      <c r="D44" s="73">
        <v>0</v>
      </c>
      <c r="E44" s="73">
        <v>0</v>
      </c>
      <c r="F44" s="73">
        <v>92614.96</v>
      </c>
      <c r="G44" s="73">
        <v>0</v>
      </c>
      <c r="H44" s="73">
        <v>21507.99</v>
      </c>
      <c r="I44" s="73">
        <v>0</v>
      </c>
      <c r="J44" s="73"/>
      <c r="K44" s="73"/>
      <c r="L44" s="73"/>
      <c r="M44" s="73"/>
      <c r="N44" s="73"/>
      <c r="O44" s="73"/>
      <c r="P44" s="72">
        <f t="shared" ref="P44:P46" si="12">SUM(D44:O44)</f>
        <v>114122.95000000001</v>
      </c>
      <c r="Q44" s="110"/>
      <c r="R44" s="110"/>
      <c r="S44" s="1"/>
      <c r="T44" s="1"/>
    </row>
    <row r="45" spans="2:20" ht="12.75" customHeight="1" x14ac:dyDescent="0.25">
      <c r="B45" s="37" t="str">
        <f>DRST</f>
        <v>DR Systems &amp; Technology Support</v>
      </c>
      <c r="C45" s="166"/>
      <c r="D45" s="201">
        <v>164282.01</v>
      </c>
      <c r="E45" s="201">
        <v>514722.62030000001</v>
      </c>
      <c r="F45" s="201">
        <v>552651.57499999995</v>
      </c>
      <c r="G45" s="201">
        <v>454116.73</v>
      </c>
      <c r="H45" s="201">
        <v>-91787.969899999996</v>
      </c>
      <c r="I45" s="201">
        <v>-100760.1394</v>
      </c>
      <c r="J45" s="201"/>
      <c r="K45" s="201"/>
      <c r="L45" s="201"/>
      <c r="M45" s="201"/>
      <c r="N45" s="201"/>
      <c r="O45" s="201"/>
      <c r="P45" s="202">
        <f t="shared" si="12"/>
        <v>1493224.8260000001</v>
      </c>
      <c r="Q45" s="107"/>
      <c r="R45" s="107"/>
      <c r="S45" s="114"/>
      <c r="T45" s="1"/>
    </row>
    <row r="46" spans="2:20" ht="12.75" customHeight="1" x14ac:dyDescent="0.25">
      <c r="B46" s="34" t="str">
        <f>EMV</f>
        <v>Evaluation, Measurement &amp; Verification (EM&amp;V)</v>
      </c>
      <c r="C46" s="35"/>
      <c r="D46" s="81">
        <v>101007.64</v>
      </c>
      <c r="E46" s="81">
        <v>79209.395900000003</v>
      </c>
      <c r="F46" s="81">
        <v>51231.743000000002</v>
      </c>
      <c r="G46" s="81">
        <v>93517.25</v>
      </c>
      <c r="H46" s="81">
        <v>-36815.540500000003</v>
      </c>
      <c r="I46" s="81">
        <v>-17022.729899999998</v>
      </c>
      <c r="J46" s="81"/>
      <c r="K46" s="81"/>
      <c r="L46" s="81"/>
      <c r="M46" s="81"/>
      <c r="N46" s="81"/>
      <c r="O46" s="81"/>
      <c r="P46" s="80">
        <f t="shared" si="12"/>
        <v>271127.75850000005</v>
      </c>
      <c r="Q46" s="111"/>
      <c r="R46" s="111"/>
      <c r="S46" s="116"/>
      <c r="T46" s="1"/>
    </row>
    <row r="47" spans="2:20" ht="12.75" customHeight="1" x14ac:dyDescent="0.25">
      <c r="B47" s="36" t="s">
        <v>105</v>
      </c>
      <c r="C47" s="63"/>
      <c r="D47" s="83">
        <f t="shared" ref="D47:E47" si="13">SUM(D44:D46)</f>
        <v>265289.65000000002</v>
      </c>
      <c r="E47" s="83">
        <f t="shared" si="13"/>
        <v>593932.01619999995</v>
      </c>
      <c r="F47" s="83">
        <f>SUM(F44:F46)</f>
        <v>696498.27799999993</v>
      </c>
      <c r="G47" s="83">
        <f t="shared" ref="G47:O47" si="14">SUM(G44:G46)</f>
        <v>547633.98</v>
      </c>
      <c r="H47" s="83">
        <f t="shared" si="14"/>
        <v>-107095.52039999999</v>
      </c>
      <c r="I47" s="83">
        <f t="shared" si="14"/>
        <v>-117782.86929999999</v>
      </c>
      <c r="J47" s="83">
        <f t="shared" si="14"/>
        <v>0</v>
      </c>
      <c r="K47" s="83">
        <f t="shared" si="14"/>
        <v>0</v>
      </c>
      <c r="L47" s="83">
        <f t="shared" si="14"/>
        <v>0</v>
      </c>
      <c r="M47" s="83">
        <f t="shared" si="14"/>
        <v>0</v>
      </c>
      <c r="N47" s="83">
        <f t="shared" si="14"/>
        <v>0</v>
      </c>
      <c r="O47" s="83">
        <f t="shared" si="14"/>
        <v>0</v>
      </c>
      <c r="P47" s="83">
        <f>SUM(P44:S46)</f>
        <v>1878475.5345000001</v>
      </c>
      <c r="Q47" s="64"/>
      <c r="R47" s="113"/>
      <c r="S47" s="122" t="e">
        <f>#REF!/SUM(Q47:R47)</f>
        <v>#REF!</v>
      </c>
      <c r="T47" s="1"/>
    </row>
    <row r="48" spans="2:20" ht="12.75" customHeight="1" x14ac:dyDescent="0.25">
      <c r="B48" s="1"/>
      <c r="C48" s="1"/>
      <c r="D48" s="77"/>
      <c r="E48" s="77"/>
      <c r="F48" s="77"/>
      <c r="G48" s="77"/>
      <c r="H48" s="77"/>
      <c r="I48" s="77"/>
      <c r="J48" s="77"/>
      <c r="K48" s="77"/>
      <c r="L48" s="77"/>
      <c r="M48" s="77"/>
      <c r="N48" s="77"/>
      <c r="O48" s="77"/>
      <c r="P48" s="77"/>
      <c r="Q48" s="110"/>
      <c r="R48" s="110"/>
      <c r="S48" s="1"/>
      <c r="T48" s="1"/>
    </row>
    <row r="49" spans="2:20" ht="12.75" customHeight="1" x14ac:dyDescent="0.25">
      <c r="B49" s="36" t="s">
        <v>106</v>
      </c>
      <c r="C49" s="63"/>
      <c r="D49" s="83">
        <f t="shared" ref="D49:Q49" si="15">SUM(D16,D20,D25,D30,D36,D41,D47)</f>
        <v>1246901.1118000001</v>
      </c>
      <c r="E49" s="83">
        <f t="shared" si="15"/>
        <v>-383620.40970000008</v>
      </c>
      <c r="F49" s="83">
        <f t="shared" si="15"/>
        <v>844310.0014999999</v>
      </c>
      <c r="G49" s="83">
        <f t="shared" si="15"/>
        <v>2190445.84</v>
      </c>
      <c r="H49" s="83">
        <f t="shared" si="15"/>
        <v>-989968.81299999985</v>
      </c>
      <c r="I49" s="83">
        <f t="shared" si="15"/>
        <v>500810.18309999991</v>
      </c>
      <c r="J49" s="83">
        <f t="shared" si="15"/>
        <v>0</v>
      </c>
      <c r="K49" s="83">
        <f t="shared" si="15"/>
        <v>0</v>
      </c>
      <c r="L49" s="83">
        <f t="shared" si="15"/>
        <v>0</v>
      </c>
      <c r="M49" s="83">
        <f t="shared" si="15"/>
        <v>0</v>
      </c>
      <c r="N49" s="83">
        <f t="shared" si="15"/>
        <v>0</v>
      </c>
      <c r="O49" s="83">
        <f t="shared" si="15"/>
        <v>0</v>
      </c>
      <c r="P49" s="83">
        <f t="shared" si="15"/>
        <v>3408877.9136999999</v>
      </c>
      <c r="Q49" s="64">
        <f t="shared" si="15"/>
        <v>0</v>
      </c>
      <c r="R49" s="113"/>
      <c r="S49" s="122" t="e">
        <f>#REF!/SUM(Q49:R49)</f>
        <v>#REF!</v>
      </c>
      <c r="T49" s="1"/>
    </row>
    <row r="51" spans="2:20" ht="32.25" customHeight="1" x14ac:dyDescent="0.25">
      <c r="B51" s="237" t="s">
        <v>268</v>
      </c>
      <c r="C51" s="238"/>
      <c r="D51" s="239"/>
      <c r="P51" s="168"/>
    </row>
    <row r="52" spans="2:20" x14ac:dyDescent="0.25">
      <c r="B52" s="70" t="s">
        <v>193</v>
      </c>
      <c r="C52" s="71"/>
      <c r="D52" s="151">
        <v>1531627.1399999994</v>
      </c>
    </row>
    <row r="53" spans="2:20" x14ac:dyDescent="0.25">
      <c r="B53" s="70" t="s">
        <v>194</v>
      </c>
      <c r="C53" s="71"/>
      <c r="D53" s="151">
        <v>649650</v>
      </c>
    </row>
    <row r="54" spans="2:20" x14ac:dyDescent="0.25">
      <c r="B54" s="69" t="s">
        <v>84</v>
      </c>
      <c r="C54" s="10"/>
      <c r="D54" s="152">
        <f>SUM(D52:D53)</f>
        <v>2181277.1399999997</v>
      </c>
    </row>
    <row r="55" spans="2:20" x14ac:dyDescent="0.25">
      <c r="B55" s="171"/>
      <c r="C55" s="172"/>
      <c r="D55" s="173"/>
    </row>
    <row r="56" spans="2:20" x14ac:dyDescent="0.25">
      <c r="B56" s="21" t="s">
        <v>72</v>
      </c>
    </row>
    <row r="57" spans="2:20" ht="29.25" customHeight="1" x14ac:dyDescent="0.25">
      <c r="B57" s="228" t="s">
        <v>258</v>
      </c>
      <c r="C57" s="228"/>
      <c r="D57" s="228"/>
      <c r="E57" s="228"/>
      <c r="F57" s="228"/>
      <c r="G57" s="228"/>
      <c r="H57" s="228"/>
      <c r="I57" s="228"/>
      <c r="J57" s="228"/>
      <c r="K57" s="228"/>
      <c r="L57" s="228"/>
      <c r="M57" s="228"/>
      <c r="N57" s="228"/>
      <c r="O57" s="228"/>
      <c r="P57" s="228"/>
      <c r="Q57" s="194"/>
      <c r="R57" s="194"/>
      <c r="S57" s="194"/>
      <c r="T57" s="194"/>
    </row>
    <row r="58" spans="2:20" x14ac:dyDescent="0.25">
      <c r="B58" t="s">
        <v>223</v>
      </c>
    </row>
    <row r="59" spans="2:20" x14ac:dyDescent="0.25">
      <c r="B59" t="s">
        <v>259</v>
      </c>
    </row>
    <row r="60" spans="2:20" x14ac:dyDescent="0.25">
      <c r="B60" s="1" t="s">
        <v>260</v>
      </c>
    </row>
  </sheetData>
  <mergeCells count="8">
    <mergeCell ref="B57:P57"/>
    <mergeCell ref="B51:D51"/>
    <mergeCell ref="B1:S1"/>
    <mergeCell ref="D5:O5"/>
    <mergeCell ref="P5:P6"/>
    <mergeCell ref="Q5:Q6"/>
    <mergeCell ref="R5:R6"/>
    <mergeCell ref="S5:S6"/>
  </mergeCells>
  <pageMargins left="0.7" right="0.7" top="0.75" bottom="0.75" header="0.3" footer="0.3"/>
  <pageSetup paperSize="5" scale="51" orientation="landscape" r:id="rId1"/>
  <headerFooter>
    <oddFooter>&amp;L&amp;F&amp;C&amp;K000000Public&amp;RA-&amp;P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484C9-3B29-4A87-B079-0E84B4BE3FE3}">
  <sheetPr>
    <pageSetUpPr fitToPage="1"/>
  </sheetPr>
  <dimension ref="B1:S35"/>
  <sheetViews>
    <sheetView showGridLines="0" view="pageBreakPreview" zoomScale="70" zoomScaleNormal="80" zoomScaleSheetLayoutView="70" zoomScalePageLayoutView="60" workbookViewId="0">
      <selection activeCell="D22" sqref="D22:U23"/>
    </sheetView>
  </sheetViews>
  <sheetFormatPr defaultRowHeight="15" x14ac:dyDescent="0.25"/>
  <cols>
    <col min="1" max="1" width="1.140625" customWidth="1"/>
    <col min="2" max="2" width="54.42578125" customWidth="1"/>
    <col min="3" max="3" width="14.28515625" customWidth="1"/>
    <col min="4" max="4" width="20" hidden="1" customWidth="1"/>
    <col min="5" max="5" width="20" customWidth="1"/>
    <col min="6" max="17" width="16.85546875" customWidth="1"/>
    <col min="18" max="18" width="19.140625" customWidth="1"/>
    <col min="19" max="19" width="17.85546875" customWidth="1"/>
  </cols>
  <sheetData>
    <row r="1" spans="2:19" ht="57" customHeight="1" x14ac:dyDescent="0.25">
      <c r="B1" s="229" t="s">
        <v>109</v>
      </c>
      <c r="C1" s="230"/>
      <c r="D1" s="230"/>
      <c r="E1" s="230"/>
      <c r="F1" s="230"/>
      <c r="G1" s="230"/>
      <c r="H1" s="230"/>
      <c r="I1" s="230"/>
      <c r="J1" s="230"/>
      <c r="K1" s="230"/>
      <c r="L1" s="230"/>
      <c r="M1" s="230"/>
      <c r="N1" s="230"/>
      <c r="O1" s="230"/>
      <c r="P1" s="230"/>
      <c r="Q1" s="230"/>
      <c r="R1" s="230"/>
      <c r="S1" s="230"/>
    </row>
    <row r="2" spans="2:19" ht="12.75" customHeight="1" x14ac:dyDescent="0.25">
      <c r="B2" s="2" t="s">
        <v>51</v>
      </c>
      <c r="C2" s="1"/>
      <c r="D2" s="1"/>
      <c r="E2" s="1"/>
      <c r="F2" s="1"/>
      <c r="G2" s="1"/>
      <c r="H2" s="1"/>
      <c r="I2" s="1"/>
      <c r="J2" s="1"/>
      <c r="K2" s="1"/>
      <c r="L2" s="1"/>
      <c r="M2" s="1"/>
      <c r="N2" s="1"/>
      <c r="O2" s="1"/>
      <c r="P2" s="1"/>
      <c r="Q2" s="1"/>
      <c r="R2" s="1"/>
      <c r="S2" s="1"/>
    </row>
    <row r="3" spans="2:19" ht="12.75" customHeight="1" x14ac:dyDescent="0.25">
      <c r="B3" s="2" t="s">
        <v>110</v>
      </c>
      <c r="C3" s="1"/>
      <c r="D3" s="1"/>
      <c r="E3" s="1"/>
      <c r="F3" s="1"/>
      <c r="G3" s="1"/>
      <c r="H3" s="1"/>
      <c r="I3" s="1"/>
      <c r="J3" s="1"/>
      <c r="K3" s="1"/>
      <c r="L3" s="1"/>
      <c r="M3" s="1"/>
      <c r="N3" s="1"/>
      <c r="O3" s="1"/>
      <c r="P3" s="1"/>
      <c r="Q3" s="1"/>
      <c r="R3" s="1"/>
      <c r="S3" s="1"/>
    </row>
    <row r="4" spans="2:19" ht="12.75" customHeight="1" x14ac:dyDescent="0.25">
      <c r="B4" s="1"/>
      <c r="C4" s="1"/>
      <c r="D4" s="1"/>
      <c r="E4" s="1"/>
      <c r="F4" s="1"/>
      <c r="G4" s="1"/>
      <c r="H4" s="1"/>
      <c r="I4" s="1"/>
      <c r="J4" s="1"/>
      <c r="K4" s="1"/>
      <c r="L4" s="1"/>
      <c r="M4" s="1"/>
      <c r="N4" s="1"/>
      <c r="O4" s="1"/>
      <c r="P4" s="1"/>
      <c r="Q4" s="1"/>
      <c r="R4" s="1"/>
      <c r="S4" s="1"/>
    </row>
    <row r="5" spans="2:19" ht="18" customHeight="1" x14ac:dyDescent="0.25">
      <c r="B5" s="1"/>
      <c r="C5" s="1"/>
      <c r="D5" s="240" t="s">
        <v>198</v>
      </c>
      <c r="E5" s="240" t="s">
        <v>267</v>
      </c>
      <c r="F5" s="248" t="s">
        <v>111</v>
      </c>
      <c r="G5" s="249"/>
      <c r="H5" s="249"/>
      <c r="I5" s="249"/>
      <c r="J5" s="249"/>
      <c r="K5" s="249"/>
      <c r="L5" s="249"/>
      <c r="M5" s="249"/>
      <c r="N5" s="249"/>
      <c r="O5" s="249"/>
      <c r="P5" s="249"/>
      <c r="Q5" s="250"/>
      <c r="R5" s="251" t="s">
        <v>112</v>
      </c>
      <c r="S5" s="251" t="s">
        <v>199</v>
      </c>
    </row>
    <row r="6" spans="2:19" ht="25.5" customHeight="1" x14ac:dyDescent="0.25">
      <c r="B6" s="2" t="s">
        <v>90</v>
      </c>
      <c r="C6" s="1"/>
      <c r="D6" s="241"/>
      <c r="E6" s="241"/>
      <c r="F6" s="216" t="s">
        <v>53</v>
      </c>
      <c r="G6" s="217" t="s">
        <v>54</v>
      </c>
      <c r="H6" s="217" t="s">
        <v>55</v>
      </c>
      <c r="I6" s="217" t="s">
        <v>56</v>
      </c>
      <c r="J6" s="217" t="s">
        <v>57</v>
      </c>
      <c r="K6" s="217" t="s">
        <v>58</v>
      </c>
      <c r="L6" s="217" t="s">
        <v>66</v>
      </c>
      <c r="M6" s="217" t="s">
        <v>67</v>
      </c>
      <c r="N6" s="217" t="s">
        <v>68</v>
      </c>
      <c r="O6" s="217" t="s">
        <v>69</v>
      </c>
      <c r="P6" s="217" t="s">
        <v>70</v>
      </c>
      <c r="Q6" s="218" t="s">
        <v>71</v>
      </c>
      <c r="R6" s="252"/>
      <c r="S6" s="252"/>
    </row>
    <row r="7" spans="2:19" ht="12.75" customHeight="1" x14ac:dyDescent="0.25">
      <c r="B7" s="38" t="s">
        <v>113</v>
      </c>
      <c r="C7" s="30"/>
      <c r="D7" s="30"/>
      <c r="E7" s="30"/>
      <c r="F7" s="30"/>
      <c r="G7" s="30"/>
      <c r="H7" s="30"/>
      <c r="I7" s="30"/>
      <c r="J7" s="30"/>
      <c r="K7" s="30"/>
      <c r="L7" s="30"/>
      <c r="M7" s="30"/>
      <c r="N7" s="30"/>
      <c r="O7" s="30"/>
      <c r="P7" s="30"/>
      <c r="Q7" s="30"/>
      <c r="R7" s="30"/>
      <c r="S7" s="30"/>
    </row>
    <row r="8" spans="2:19" ht="12.75" customHeight="1" x14ac:dyDescent="0.25">
      <c r="B8" s="33" t="str">
        <f>API</f>
        <v>Agricultural &amp; Pumping Interruptible (API)</v>
      </c>
      <c r="C8" s="57"/>
      <c r="D8" s="72"/>
      <c r="E8" s="72"/>
      <c r="F8" s="203">
        <f>'2023 DRP Expenditures'!F9</f>
        <v>137551.51999999999</v>
      </c>
      <c r="G8" s="203">
        <f>'2023 DRP Expenditures'!G9</f>
        <v>88360.31</v>
      </c>
      <c r="H8" s="73">
        <v>100418.78</v>
      </c>
      <c r="I8" s="73">
        <v>101891.94</v>
      </c>
      <c r="J8" s="73">
        <v>180414.28</v>
      </c>
      <c r="K8" s="73">
        <v>360362.05</v>
      </c>
      <c r="L8" s="73"/>
      <c r="M8" s="73"/>
      <c r="N8" s="73"/>
      <c r="O8" s="73"/>
      <c r="P8" s="73"/>
      <c r="Q8" s="73"/>
      <c r="R8" s="74">
        <f>SUM(F8:Q8)</f>
        <v>968998.87999999989</v>
      </c>
      <c r="S8" s="74">
        <f t="shared" ref="S8:S14" si="0">SUM(D8:E8,R8)</f>
        <v>968998.87999999989</v>
      </c>
    </row>
    <row r="9" spans="2:19" ht="12.75" customHeight="1" x14ac:dyDescent="0.25">
      <c r="B9" s="37" t="str">
        <f>BIPG</f>
        <v>Base Interruptible Program (BIP)</v>
      </c>
      <c r="C9" s="75"/>
      <c r="D9" s="76"/>
      <c r="E9" s="76"/>
      <c r="F9" s="78">
        <f>'2023 DRP Expenditures'!F11+'DRP Carryover Expenditures'!D10</f>
        <v>2976089.51</v>
      </c>
      <c r="G9" s="78">
        <f>'2023 DRP Expenditures'!G11+'DRP Carryover Expenditures'!E10</f>
        <v>2560958.34</v>
      </c>
      <c r="H9" s="78">
        <f>'2023 DRP Expenditures'!H11+'DRP Carryover Expenditures'!F10</f>
        <v>3167064.68</v>
      </c>
      <c r="I9" s="78">
        <f>'2023 DRP Expenditures'!I11+'DRP Carryover Expenditures'!G10</f>
        <v>3027623.77</v>
      </c>
      <c r="J9" s="78">
        <f>'2023 DRP Expenditures'!J11+'DRP Carryover Expenditures'!H10</f>
        <v>3300994.3499999996</v>
      </c>
      <c r="K9" s="78">
        <f>'2023 DRP Expenditures'!K11+'DRP Carryover Expenditures'!I10</f>
        <v>4641094.5199999996</v>
      </c>
      <c r="L9" s="77"/>
      <c r="M9" s="77"/>
      <c r="N9" s="77"/>
      <c r="O9" s="77"/>
      <c r="P9" s="77"/>
      <c r="Q9" s="77"/>
      <c r="R9" s="79">
        <f t="shared" ref="R9:R14" si="1">SUM(F9:Q9)</f>
        <v>19673825.169999998</v>
      </c>
      <c r="S9" s="79">
        <f t="shared" si="0"/>
        <v>19673825.169999998</v>
      </c>
    </row>
    <row r="10" spans="2:19" ht="12.75" customHeight="1" x14ac:dyDescent="0.25">
      <c r="B10" s="37" t="str">
        <f>CBPG</f>
        <v>Capacity Bidding Program (CBP)</v>
      </c>
      <c r="C10" s="75"/>
      <c r="D10" s="76"/>
      <c r="E10" s="76"/>
      <c r="F10" s="78">
        <f>'DRP Carryover Expenditures'!D12</f>
        <v>176994.21</v>
      </c>
      <c r="G10" s="78">
        <f>'DRP Carryover Expenditures'!E12</f>
        <v>-58680.28</v>
      </c>
      <c r="H10" s="78">
        <f>'DRP Carryover Expenditures'!F12</f>
        <v>-146696.14000000001</v>
      </c>
      <c r="I10" s="78">
        <f>'DRP Carryover Expenditures'!G12</f>
        <v>562.30999999999995</v>
      </c>
      <c r="J10" s="78">
        <f>'2023 DRP Expenditures'!J13+'DRP Carryover Expenditures'!H12</f>
        <v>-32471.17</v>
      </c>
      <c r="K10" s="78">
        <f>'2023 DRP Expenditures'!K13+'DRP Carryover Expenditures'!I12</f>
        <v>2122.23</v>
      </c>
      <c r="L10" s="77"/>
      <c r="M10" s="77"/>
      <c r="N10" s="77"/>
      <c r="O10" s="77"/>
      <c r="P10" s="77"/>
      <c r="Q10" s="77"/>
      <c r="R10" s="79">
        <f t="shared" si="1"/>
        <v>-58168.840000000018</v>
      </c>
      <c r="S10" s="79">
        <f t="shared" si="0"/>
        <v>-58168.840000000018</v>
      </c>
    </row>
    <row r="11" spans="2:19" ht="12.75" customHeight="1" x14ac:dyDescent="0.25">
      <c r="B11" s="37" t="str">
        <f>ELRP</f>
        <v>Emergency Load Reduction Program (ELRP)</v>
      </c>
      <c r="C11" s="75"/>
      <c r="D11" s="76">
        <v>0</v>
      </c>
      <c r="E11" s="76">
        <v>112151506.52</v>
      </c>
      <c r="F11" s="78">
        <f>'2023 DRP Expenditures'!F38</f>
        <v>-192007.91</v>
      </c>
      <c r="G11" s="78">
        <f>'2023 DRP Expenditures'!G38</f>
        <v>998.44</v>
      </c>
      <c r="H11" s="78">
        <f>'2023 DRP Expenditures'!H38</f>
        <v>412465.50999999978</v>
      </c>
      <c r="I11" s="78">
        <f>'2023 DRP Expenditures'!I38</f>
        <v>-2408247.2700000009</v>
      </c>
      <c r="J11" s="78">
        <f>'2023 DRP Expenditures'!J38</f>
        <v>192416.86</v>
      </c>
      <c r="K11" s="78">
        <f>'2023 DRP Expenditures'!K38</f>
        <v>83823.87</v>
      </c>
      <c r="L11" s="77"/>
      <c r="M11" s="77"/>
      <c r="N11" s="77"/>
      <c r="O11" s="77"/>
      <c r="P11" s="77"/>
      <c r="Q11" s="77"/>
      <c r="R11" s="79">
        <f>SUM(F11:Q11)</f>
        <v>-1910550.5000000014</v>
      </c>
      <c r="S11" s="79">
        <f t="shared" si="0"/>
        <v>110240956.02</v>
      </c>
    </row>
    <row r="12" spans="2:19" ht="12.75" customHeight="1" x14ac:dyDescent="0.25">
      <c r="B12" s="37" t="str">
        <f>SEP</f>
        <v>Smart Energy Program (SEP)</v>
      </c>
      <c r="C12" s="1"/>
      <c r="D12" s="76"/>
      <c r="E12" s="76"/>
      <c r="F12" s="78">
        <f>'2023 DRP Expenditures'!F15</f>
        <v>128.4</v>
      </c>
      <c r="G12" s="78">
        <f>'2023 DRP Expenditures'!G15</f>
        <v>210.58</v>
      </c>
      <c r="H12" s="77">
        <v>281.02</v>
      </c>
      <c r="I12" s="77">
        <v>-550.96</v>
      </c>
      <c r="J12" s="77">
        <v>141.81</v>
      </c>
      <c r="K12" s="77">
        <v>329312.17</v>
      </c>
      <c r="L12" s="77"/>
      <c r="M12" s="77"/>
      <c r="N12" s="77"/>
      <c r="O12" s="77"/>
      <c r="P12" s="77"/>
      <c r="Q12" s="77"/>
      <c r="R12" s="79">
        <f t="shared" si="1"/>
        <v>329523.01999999996</v>
      </c>
      <c r="S12" s="79">
        <f t="shared" si="0"/>
        <v>329523.01999999996</v>
      </c>
    </row>
    <row r="13" spans="2:19" ht="12.75" customHeight="1" x14ac:dyDescent="0.25">
      <c r="B13" s="37" t="str">
        <f>SDPC</f>
        <v>Summer Discount Plan Program (SDP) - Commercial</v>
      </c>
      <c r="C13" s="1"/>
      <c r="D13" s="76"/>
      <c r="E13" s="76"/>
      <c r="F13" s="78">
        <v>39139.629999999997</v>
      </c>
      <c r="G13" s="78">
        <v>26629.65</v>
      </c>
      <c r="H13" s="77">
        <v>-187253.72</v>
      </c>
      <c r="I13" s="77">
        <v>195529.82</v>
      </c>
      <c r="J13" s="77">
        <v>-570.45000000000005</v>
      </c>
      <c r="K13" s="77">
        <v>593298.28</v>
      </c>
      <c r="L13" s="77"/>
      <c r="M13" s="77"/>
      <c r="N13" s="77"/>
      <c r="O13" s="77"/>
      <c r="P13" s="77"/>
      <c r="Q13" s="77"/>
      <c r="R13" s="79">
        <f t="shared" si="1"/>
        <v>666773.21000000008</v>
      </c>
      <c r="S13" s="79">
        <f t="shared" si="0"/>
        <v>666773.21000000008</v>
      </c>
    </row>
    <row r="14" spans="2:19" ht="12.75" customHeight="1" x14ac:dyDescent="0.25">
      <c r="B14" s="34" t="str">
        <f>SDPR</f>
        <v>Summer Discount Plan Program (SDP) - Residential</v>
      </c>
      <c r="C14" s="35"/>
      <c r="D14" s="80"/>
      <c r="E14" s="80"/>
      <c r="F14" s="204">
        <v>354038.54</v>
      </c>
      <c r="G14" s="204">
        <v>1302.73</v>
      </c>
      <c r="H14" s="81">
        <v>-54.340000000000103</v>
      </c>
      <c r="I14" s="81">
        <v>-2819.08</v>
      </c>
      <c r="J14" s="81">
        <v>5338.25</v>
      </c>
      <c r="K14" s="81">
        <v>2555698.59</v>
      </c>
      <c r="L14" s="81"/>
      <c r="M14" s="81"/>
      <c r="N14" s="81"/>
      <c r="O14" s="81"/>
      <c r="P14" s="81"/>
      <c r="Q14" s="81"/>
      <c r="R14" s="82">
        <f t="shared" si="1"/>
        <v>2913504.69</v>
      </c>
      <c r="S14" s="82">
        <f t="shared" si="0"/>
        <v>2913504.69</v>
      </c>
    </row>
    <row r="15" spans="2:19" ht="12.75" customHeight="1" x14ac:dyDescent="0.25">
      <c r="B15" s="36" t="s">
        <v>114</v>
      </c>
      <c r="C15" s="63"/>
      <c r="D15" s="83">
        <f t="shared" ref="D15:S15" si="2">SUM(D8:D14)</f>
        <v>0</v>
      </c>
      <c r="E15" s="83">
        <f t="shared" si="2"/>
        <v>112151506.52</v>
      </c>
      <c r="F15" s="83">
        <f t="shared" si="2"/>
        <v>3491933.8999999994</v>
      </c>
      <c r="G15" s="83">
        <f t="shared" si="2"/>
        <v>2619779.77</v>
      </c>
      <c r="H15" s="83">
        <f t="shared" si="2"/>
        <v>3346225.7899999996</v>
      </c>
      <c r="I15" s="83">
        <f t="shared" si="2"/>
        <v>913990.52999999921</v>
      </c>
      <c r="J15" s="83">
        <f t="shared" si="2"/>
        <v>3646263.9299999992</v>
      </c>
      <c r="K15" s="83">
        <f t="shared" si="2"/>
        <v>8565711.7100000009</v>
      </c>
      <c r="L15" s="83">
        <f t="shared" si="2"/>
        <v>0</v>
      </c>
      <c r="M15" s="83">
        <f t="shared" si="2"/>
        <v>0</v>
      </c>
      <c r="N15" s="83">
        <f t="shared" si="2"/>
        <v>0</v>
      </c>
      <c r="O15" s="83">
        <f t="shared" si="2"/>
        <v>0</v>
      </c>
      <c r="P15" s="83">
        <f t="shared" si="2"/>
        <v>0</v>
      </c>
      <c r="Q15" s="83">
        <f t="shared" si="2"/>
        <v>0</v>
      </c>
      <c r="R15" s="83">
        <f t="shared" si="2"/>
        <v>22583905.629999999</v>
      </c>
      <c r="S15" s="83">
        <f t="shared" si="2"/>
        <v>134735412.14999998</v>
      </c>
    </row>
    <row r="16" spans="2:19" ht="12.75" customHeight="1" x14ac:dyDescent="0.25">
      <c r="B16" s="1"/>
      <c r="C16" s="1"/>
      <c r="D16" s="1"/>
      <c r="E16" s="1"/>
      <c r="F16" s="1"/>
      <c r="G16" s="1"/>
      <c r="H16" s="1"/>
      <c r="I16" s="1"/>
      <c r="J16" s="1"/>
      <c r="K16" s="1"/>
      <c r="L16" s="1"/>
      <c r="M16" s="1"/>
      <c r="N16" s="1"/>
      <c r="O16" s="1"/>
      <c r="P16" s="1"/>
      <c r="Q16" s="1"/>
      <c r="R16" s="1"/>
      <c r="S16" s="1"/>
    </row>
    <row r="17" spans="2:19" x14ac:dyDescent="0.25">
      <c r="B17" s="36" t="s">
        <v>115</v>
      </c>
      <c r="C17" s="63"/>
      <c r="D17" s="83">
        <v>0</v>
      </c>
      <c r="E17" s="83">
        <v>0</v>
      </c>
      <c r="F17" s="83">
        <v>0</v>
      </c>
      <c r="G17" s="83">
        <v>0</v>
      </c>
      <c r="H17" s="83">
        <v>0</v>
      </c>
      <c r="I17" s="83">
        <v>0</v>
      </c>
      <c r="J17" s="83">
        <v>0</v>
      </c>
      <c r="K17" s="83">
        <v>-24560.84</v>
      </c>
      <c r="L17" s="83">
        <v>0</v>
      </c>
      <c r="M17" s="83">
        <v>0</v>
      </c>
      <c r="N17" s="83">
        <v>0</v>
      </c>
      <c r="O17" s="83">
        <v>0</v>
      </c>
      <c r="P17" s="83">
        <v>0</v>
      </c>
      <c r="Q17" s="83">
        <v>0</v>
      </c>
      <c r="R17" s="83">
        <f>SUM(F17:Q17)</f>
        <v>-24560.84</v>
      </c>
      <c r="S17" s="84">
        <f>SUM(D17:E17,R17)</f>
        <v>-24560.84</v>
      </c>
    </row>
    <row r="18" spans="2:19" x14ac:dyDescent="0.25">
      <c r="B18" s="1"/>
      <c r="C18" s="1"/>
      <c r="D18" s="1"/>
      <c r="E18" s="1"/>
      <c r="F18" s="1"/>
      <c r="G18" s="1"/>
      <c r="H18" s="1"/>
      <c r="I18" s="1"/>
      <c r="J18" s="1"/>
      <c r="K18" s="1"/>
      <c r="L18" s="1"/>
      <c r="M18" s="1"/>
      <c r="N18" s="1"/>
      <c r="O18" s="1"/>
      <c r="P18" s="1"/>
      <c r="Q18" s="1"/>
      <c r="R18" s="1"/>
      <c r="S18" s="1"/>
    </row>
    <row r="19" spans="2:19" x14ac:dyDescent="0.25">
      <c r="B19" s="2" t="s">
        <v>72</v>
      </c>
      <c r="C19" s="1"/>
      <c r="D19" s="1"/>
      <c r="E19" s="1"/>
      <c r="F19" s="1"/>
      <c r="G19" s="1"/>
      <c r="H19" s="1"/>
      <c r="I19" s="1"/>
      <c r="J19" s="1"/>
      <c r="K19" s="1"/>
      <c r="L19" s="1"/>
      <c r="M19" s="1"/>
      <c r="N19" s="1"/>
      <c r="O19" s="1"/>
      <c r="P19" s="1"/>
      <c r="Q19" s="1"/>
      <c r="R19" s="1"/>
      <c r="S19" s="1"/>
    </row>
    <row r="20" spans="2:19" x14ac:dyDescent="0.25">
      <c r="B20" s="1" t="s">
        <v>240</v>
      </c>
      <c r="C20" s="1"/>
      <c r="D20" s="1"/>
      <c r="E20" s="1"/>
      <c r="F20" s="1"/>
      <c r="G20" s="1"/>
      <c r="H20" s="1"/>
      <c r="I20" s="1"/>
      <c r="J20" s="1"/>
      <c r="K20" s="1"/>
      <c r="L20" s="1"/>
      <c r="M20" s="1"/>
      <c r="N20" s="1"/>
      <c r="O20" s="1"/>
      <c r="P20" s="1"/>
      <c r="Q20" s="1"/>
      <c r="R20" s="1"/>
      <c r="S20" s="1"/>
    </row>
    <row r="21" spans="2:19" x14ac:dyDescent="0.25">
      <c r="B21" s="164" t="s">
        <v>242</v>
      </c>
      <c r="C21" s="1"/>
      <c r="D21" s="1"/>
      <c r="E21" s="1"/>
      <c r="F21" s="1"/>
      <c r="G21" s="1"/>
      <c r="H21" s="1"/>
      <c r="I21" s="1"/>
      <c r="J21" s="1"/>
      <c r="K21" s="1"/>
      <c r="L21" s="1"/>
      <c r="M21" s="1"/>
      <c r="N21" s="1"/>
      <c r="O21" s="1"/>
      <c r="P21" s="1"/>
      <c r="Q21" s="1"/>
      <c r="R21" s="1"/>
      <c r="S21" s="1"/>
    </row>
    <row r="22" spans="2:19" x14ac:dyDescent="0.25">
      <c r="B22" s="1" t="s">
        <v>243</v>
      </c>
      <c r="C22" s="1"/>
      <c r="D22" s="1"/>
      <c r="E22" s="1"/>
      <c r="F22" s="1"/>
      <c r="G22" s="1"/>
      <c r="H22" s="1"/>
      <c r="I22" s="1"/>
      <c r="J22" s="1"/>
      <c r="K22" s="1"/>
      <c r="L22" s="1"/>
      <c r="M22" s="1"/>
      <c r="N22" s="1"/>
      <c r="O22" s="1"/>
      <c r="P22" s="1"/>
      <c r="Q22" s="1"/>
      <c r="R22" s="1"/>
      <c r="S22" s="1"/>
    </row>
    <row r="23" spans="2:19" x14ac:dyDescent="0.25">
      <c r="B23" s="1" t="s">
        <v>241</v>
      </c>
      <c r="C23" s="1"/>
      <c r="D23" s="1"/>
      <c r="E23" s="1"/>
      <c r="F23" s="1"/>
      <c r="G23" s="1"/>
      <c r="H23" s="1"/>
      <c r="I23" s="1"/>
      <c r="J23" s="1"/>
      <c r="K23" s="1"/>
      <c r="L23" s="1"/>
      <c r="M23" s="1"/>
      <c r="N23" s="1"/>
      <c r="O23" s="1"/>
      <c r="P23" s="1"/>
      <c r="Q23" s="1"/>
      <c r="R23" s="1"/>
      <c r="S23" s="1"/>
    </row>
    <row r="24" spans="2:19" x14ac:dyDescent="0.25">
      <c r="B24" s="1" t="s">
        <v>244</v>
      </c>
      <c r="C24" s="1"/>
      <c r="D24" s="1"/>
      <c r="E24" s="1"/>
      <c r="F24" s="1"/>
      <c r="G24" s="1"/>
      <c r="H24" s="1"/>
      <c r="I24" s="1"/>
      <c r="J24" s="1"/>
      <c r="K24" s="1"/>
      <c r="L24" s="1"/>
      <c r="M24" s="1"/>
      <c r="N24" s="1"/>
      <c r="O24" s="1"/>
      <c r="P24" s="1"/>
      <c r="Q24" s="1"/>
      <c r="R24" s="1"/>
      <c r="S24" s="1"/>
    </row>
    <row r="25" spans="2:19" x14ac:dyDescent="0.25">
      <c r="B25" s="1" t="s">
        <v>245</v>
      </c>
      <c r="C25" s="1"/>
      <c r="D25" s="1"/>
      <c r="E25" s="1"/>
      <c r="F25" s="1"/>
      <c r="G25" s="1"/>
      <c r="H25" s="1"/>
      <c r="I25" s="1"/>
      <c r="J25" s="1"/>
      <c r="K25" s="1"/>
      <c r="L25" s="1"/>
      <c r="M25" s="1"/>
      <c r="N25" s="1"/>
      <c r="O25" s="1"/>
      <c r="P25" s="1"/>
      <c r="Q25" s="1"/>
      <c r="R25" s="1"/>
      <c r="S25" s="1"/>
    </row>
    <row r="26" spans="2:19" x14ac:dyDescent="0.25">
      <c r="B26" s="163" t="s">
        <v>246</v>
      </c>
      <c r="C26" s="1"/>
      <c r="D26" s="1"/>
      <c r="E26" s="1"/>
      <c r="F26" s="1"/>
      <c r="G26" s="1"/>
      <c r="H26" s="1"/>
      <c r="I26" s="1"/>
      <c r="J26" s="1"/>
      <c r="K26" s="1"/>
      <c r="L26" s="1"/>
      <c r="M26" s="1"/>
      <c r="N26" s="1"/>
      <c r="O26" s="1"/>
      <c r="P26" s="1"/>
      <c r="Q26" s="1"/>
      <c r="R26" s="1"/>
      <c r="S26" s="1"/>
    </row>
    <row r="27" spans="2:19" x14ac:dyDescent="0.25">
      <c r="B27" s="1"/>
      <c r="C27" s="1"/>
      <c r="D27" s="1"/>
      <c r="E27" s="1"/>
      <c r="F27" s="1"/>
      <c r="G27" s="1"/>
      <c r="H27" s="1"/>
      <c r="I27" s="1"/>
      <c r="J27" s="1"/>
      <c r="K27" s="1"/>
      <c r="L27" s="1"/>
      <c r="M27" s="1"/>
      <c r="N27" s="1"/>
      <c r="O27" s="1"/>
      <c r="P27" s="1"/>
      <c r="Q27" s="1"/>
      <c r="R27" s="1"/>
      <c r="S27" s="1"/>
    </row>
    <row r="28" spans="2:19" x14ac:dyDescent="0.25">
      <c r="B28" s="1"/>
      <c r="C28" s="1"/>
      <c r="D28" s="1"/>
      <c r="E28" s="1"/>
      <c r="F28" s="1"/>
      <c r="G28" s="1"/>
      <c r="H28" s="1"/>
      <c r="I28" s="1"/>
      <c r="J28" s="1"/>
      <c r="K28" s="1"/>
      <c r="L28" s="1"/>
      <c r="M28" s="1"/>
      <c r="N28" s="1"/>
      <c r="O28" s="1"/>
      <c r="P28" s="1"/>
      <c r="Q28" s="1"/>
      <c r="R28" s="1"/>
      <c r="S28" s="1"/>
    </row>
    <row r="29" spans="2:19" x14ac:dyDescent="0.25">
      <c r="B29" s="1"/>
      <c r="C29" s="1"/>
      <c r="D29" s="1"/>
      <c r="E29" s="1"/>
      <c r="F29" s="1"/>
      <c r="G29" s="1"/>
      <c r="H29" s="1"/>
      <c r="I29" s="1"/>
      <c r="J29" s="1"/>
      <c r="K29" s="1"/>
      <c r="L29" s="1"/>
      <c r="M29" s="1"/>
      <c r="N29" s="1"/>
      <c r="O29" s="1"/>
      <c r="P29" s="1"/>
      <c r="Q29" s="1"/>
      <c r="R29" s="1"/>
      <c r="S29" s="1"/>
    </row>
    <row r="30" spans="2:19" x14ac:dyDescent="0.25">
      <c r="B30" s="1"/>
      <c r="C30" s="1"/>
      <c r="D30" s="1"/>
      <c r="E30" s="1"/>
      <c r="F30" s="1"/>
      <c r="G30" s="1"/>
      <c r="H30" s="1"/>
      <c r="I30" s="1"/>
      <c r="J30" s="1"/>
      <c r="K30" s="1"/>
      <c r="L30" s="1"/>
      <c r="M30" s="1"/>
      <c r="N30" s="1"/>
      <c r="O30" s="1"/>
      <c r="P30" s="1"/>
      <c r="Q30" s="1"/>
      <c r="R30" s="1"/>
      <c r="S30" s="1"/>
    </row>
    <row r="31" spans="2:19" x14ac:dyDescent="0.25">
      <c r="B31" s="1"/>
      <c r="C31" s="1"/>
      <c r="D31" s="1"/>
      <c r="E31" s="1"/>
      <c r="F31" s="1"/>
      <c r="G31" s="1"/>
      <c r="H31" s="1"/>
      <c r="I31" s="1"/>
      <c r="J31" s="1"/>
      <c r="K31" s="1"/>
      <c r="L31" s="1"/>
      <c r="M31" s="1"/>
      <c r="N31" s="1"/>
      <c r="O31" s="1"/>
      <c r="P31" s="1"/>
      <c r="Q31" s="1"/>
      <c r="R31" s="1"/>
      <c r="S31" s="1"/>
    </row>
    <row r="32" spans="2:19" x14ac:dyDescent="0.25">
      <c r="B32" s="1"/>
      <c r="C32" s="1"/>
      <c r="D32" s="1"/>
      <c r="E32" s="1"/>
      <c r="F32" s="1"/>
      <c r="G32" s="1"/>
      <c r="H32" s="1"/>
      <c r="I32" s="1"/>
      <c r="J32" s="1"/>
      <c r="K32" s="1"/>
      <c r="L32" s="1"/>
      <c r="M32" s="1"/>
      <c r="N32" s="1"/>
      <c r="O32" s="1"/>
      <c r="P32" s="1"/>
      <c r="Q32" s="1"/>
      <c r="R32" s="1"/>
      <c r="S32" s="1"/>
    </row>
    <row r="33" spans="2:19" x14ac:dyDescent="0.25">
      <c r="B33" s="1"/>
      <c r="C33" s="1"/>
      <c r="D33" s="1"/>
      <c r="E33" s="1"/>
      <c r="F33" s="1"/>
      <c r="G33" s="1"/>
      <c r="H33" s="1"/>
      <c r="I33" s="1"/>
      <c r="J33" s="1"/>
      <c r="K33" s="1"/>
      <c r="L33" s="1"/>
      <c r="M33" s="1"/>
      <c r="N33" s="1"/>
      <c r="O33" s="1"/>
      <c r="P33" s="1"/>
      <c r="Q33" s="1"/>
      <c r="R33" s="1"/>
      <c r="S33" s="1"/>
    </row>
    <row r="34" spans="2:19" x14ac:dyDescent="0.25">
      <c r="B34" s="1"/>
      <c r="C34" s="1"/>
      <c r="D34" s="1"/>
      <c r="E34" s="1"/>
      <c r="F34" s="1"/>
      <c r="G34" s="1"/>
      <c r="H34" s="1"/>
      <c r="I34" s="1"/>
      <c r="J34" s="1"/>
      <c r="K34" s="1"/>
      <c r="L34" s="1"/>
      <c r="M34" s="1"/>
      <c r="N34" s="1"/>
      <c r="O34" s="1"/>
      <c r="P34" s="1"/>
      <c r="Q34" s="1"/>
      <c r="R34" s="1"/>
      <c r="S34" s="1"/>
    </row>
    <row r="35" spans="2:19" x14ac:dyDescent="0.25">
      <c r="B35" s="1"/>
      <c r="C35" s="1"/>
      <c r="D35" s="1"/>
      <c r="E35" s="1"/>
      <c r="F35" s="1"/>
      <c r="G35" s="1"/>
      <c r="H35" s="1"/>
      <c r="I35" s="1"/>
      <c r="J35" s="1"/>
      <c r="K35" s="1"/>
      <c r="L35" s="1"/>
      <c r="M35" s="1"/>
      <c r="N35" s="1"/>
      <c r="O35" s="1"/>
      <c r="P35" s="1"/>
      <c r="Q35" s="1"/>
      <c r="R35" s="1"/>
      <c r="S35" s="1"/>
    </row>
  </sheetData>
  <mergeCells count="6">
    <mergeCell ref="B1:S1"/>
    <mergeCell ref="D5:D6"/>
    <mergeCell ref="E5:E6"/>
    <mergeCell ref="F5:Q5"/>
    <mergeCell ref="R5:R6"/>
    <mergeCell ref="S5:S6"/>
  </mergeCells>
  <pageMargins left="0.7" right="0.7" top="0.75" bottom="0.75" header="0.3" footer="0.3"/>
  <pageSetup paperSize="5" scale="47" orientation="landscape" r:id="rId1"/>
  <headerFooter>
    <oddFooter>&amp;L&amp;F&amp;C&amp;K000000Public&amp;RA-&amp;P</oddFooter>
  </headerFooter>
  <ignoredErrors>
    <ignoredError sqref="R17:S17 S8:S10 R11 S11:S1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AA7E-C955-41B4-8339-D9DA975A3BCC}">
  <sheetPr>
    <pageSetUpPr fitToPage="1"/>
  </sheetPr>
  <dimension ref="B1:F24"/>
  <sheetViews>
    <sheetView showGridLines="0" view="pageBreakPreview" zoomScale="70" zoomScaleNormal="100" zoomScaleSheetLayoutView="70" workbookViewId="0">
      <selection activeCell="D22" sqref="D22:U23"/>
    </sheetView>
  </sheetViews>
  <sheetFormatPr defaultRowHeight="15" x14ac:dyDescent="0.25"/>
  <cols>
    <col min="1" max="1" width="1.42578125" customWidth="1"/>
    <col min="2" max="2" width="46" customWidth="1"/>
    <col min="3" max="3" width="19.7109375" customWidth="1"/>
    <col min="4" max="4" width="68.28515625" customWidth="1"/>
    <col min="5" max="5" width="13.42578125" customWidth="1"/>
    <col min="6" max="6" width="98.42578125" customWidth="1"/>
    <col min="7" max="7" width="3.7109375" customWidth="1"/>
  </cols>
  <sheetData>
    <row r="1" spans="2:6" ht="51.75" customHeight="1" x14ac:dyDescent="0.25">
      <c r="B1" s="229" t="s">
        <v>116</v>
      </c>
      <c r="C1" s="230"/>
      <c r="D1" s="230"/>
      <c r="E1" s="230"/>
      <c r="F1" s="230"/>
    </row>
    <row r="2" spans="2:6" ht="12.75" customHeight="1" x14ac:dyDescent="0.25">
      <c r="B2" s="2" t="s">
        <v>51</v>
      </c>
      <c r="C2" s="1"/>
      <c r="D2" s="1"/>
      <c r="E2" s="1"/>
      <c r="F2" s="1"/>
    </row>
    <row r="3" spans="2:6" ht="12.75" customHeight="1" x14ac:dyDescent="0.25">
      <c r="B3" s="1"/>
      <c r="C3" s="1"/>
      <c r="D3" s="1"/>
      <c r="E3" s="1"/>
      <c r="F3" s="1"/>
    </row>
    <row r="4" spans="2:6" ht="12.75" customHeight="1" x14ac:dyDescent="0.25">
      <c r="B4" s="1"/>
      <c r="C4" s="1"/>
      <c r="D4" s="1"/>
      <c r="E4" s="1"/>
      <c r="F4" s="1"/>
    </row>
    <row r="5" spans="2:6" ht="12.75" customHeight="1" x14ac:dyDescent="0.25">
      <c r="B5" s="2" t="s">
        <v>117</v>
      </c>
      <c r="C5" s="1"/>
      <c r="D5" s="1"/>
      <c r="E5" s="1"/>
      <c r="F5" s="1"/>
    </row>
    <row r="6" spans="2:6" ht="12.75" customHeight="1" x14ac:dyDescent="0.25">
      <c r="B6" s="1"/>
      <c r="C6" s="1"/>
      <c r="D6" s="1"/>
      <c r="E6" s="1"/>
      <c r="F6" s="1"/>
    </row>
    <row r="7" spans="2:6" ht="12.75" customHeight="1" x14ac:dyDescent="0.25">
      <c r="B7" s="177" t="s">
        <v>118</v>
      </c>
      <c r="C7" s="1" t="s">
        <v>119</v>
      </c>
      <c r="D7" s="1"/>
      <c r="E7" s="1"/>
      <c r="F7" s="1"/>
    </row>
    <row r="8" spans="2:6" ht="12.75" customHeight="1" x14ac:dyDescent="0.25">
      <c r="C8" s="1" t="s">
        <v>247</v>
      </c>
    </row>
    <row r="9" spans="2:6" ht="12.75" customHeight="1" x14ac:dyDescent="0.25">
      <c r="C9" s="1" t="s">
        <v>248</v>
      </c>
    </row>
    <row r="10" spans="2:6" ht="12.75" customHeight="1" x14ac:dyDescent="0.25">
      <c r="C10" s="1" t="s">
        <v>120</v>
      </c>
    </row>
    <row r="11" spans="2:6" ht="12.75" customHeight="1" x14ac:dyDescent="0.25">
      <c r="C11" s="1" t="s">
        <v>249</v>
      </c>
    </row>
    <row r="12" spans="2:6" ht="12.75" customHeight="1" x14ac:dyDescent="0.25">
      <c r="C12" s="1" t="s">
        <v>250</v>
      </c>
    </row>
    <row r="13" spans="2:6" ht="12.75" customHeight="1" x14ac:dyDescent="0.25">
      <c r="C13" s="1" t="s">
        <v>121</v>
      </c>
    </row>
    <row r="14" spans="2:6" ht="12.75" customHeight="1" x14ac:dyDescent="0.25">
      <c r="B14" s="178" t="s">
        <v>122</v>
      </c>
      <c r="C14" s="1" t="s">
        <v>123</v>
      </c>
    </row>
    <row r="15" spans="2:6" ht="12.75" customHeight="1" x14ac:dyDescent="0.25">
      <c r="B15" s="177" t="s">
        <v>251</v>
      </c>
      <c r="C15" s="2"/>
    </row>
    <row r="16" spans="2:6" ht="12.75" customHeight="1" x14ac:dyDescent="0.25">
      <c r="B16" s="177" t="s">
        <v>252</v>
      </c>
      <c r="C16" s="1" t="s">
        <v>253</v>
      </c>
    </row>
    <row r="17" spans="2:6" ht="12.75" customHeight="1" x14ac:dyDescent="0.25">
      <c r="B17" s="177" t="s">
        <v>122</v>
      </c>
      <c r="C17" s="1" t="s">
        <v>254</v>
      </c>
    </row>
    <row r="18" spans="2:6" ht="12.75" customHeight="1" thickBot="1" x14ac:dyDescent="0.3"/>
    <row r="19" spans="2:6" ht="12.75" customHeight="1" x14ac:dyDescent="0.25">
      <c r="B19" s="179" t="s">
        <v>124</v>
      </c>
      <c r="C19" s="180" t="s">
        <v>125</v>
      </c>
      <c r="D19" s="180" t="s">
        <v>126</v>
      </c>
      <c r="E19" s="180" t="s">
        <v>127</v>
      </c>
      <c r="F19" s="181" t="s">
        <v>128</v>
      </c>
    </row>
    <row r="20" spans="2:6" ht="15.75" thickBot="1" x14ac:dyDescent="0.3">
      <c r="B20" s="182"/>
      <c r="C20" s="183"/>
      <c r="D20" s="184"/>
      <c r="E20" s="185"/>
      <c r="F20" s="186"/>
    </row>
    <row r="21" spans="2:6" ht="12.75" customHeight="1" thickBot="1" x14ac:dyDescent="0.3">
      <c r="B21" s="22"/>
      <c r="C21" s="23"/>
      <c r="D21" s="23"/>
      <c r="E21" s="23"/>
      <c r="F21" s="24"/>
    </row>
    <row r="22" spans="2:6" ht="12.75" customHeight="1" thickBot="1" x14ac:dyDescent="0.3">
      <c r="B22" s="25" t="s">
        <v>84</v>
      </c>
      <c r="C22" s="28">
        <f>SUM(C20:C21)</f>
        <v>0</v>
      </c>
      <c r="D22" s="26"/>
      <c r="E22" s="26"/>
      <c r="F22" s="27"/>
    </row>
    <row r="23" spans="2:6" ht="12.75" customHeight="1" x14ac:dyDescent="0.25"/>
    <row r="24" spans="2:6" ht="12.75" customHeight="1" x14ac:dyDescent="0.25">
      <c r="B24" s="2" t="s">
        <v>72</v>
      </c>
    </row>
  </sheetData>
  <mergeCells count="1">
    <mergeCell ref="B1:F1"/>
  </mergeCells>
  <pageMargins left="0.7" right="0.7" top="0.75" bottom="0.75" header="0.3" footer="0.3"/>
  <pageSetup paperSize="5" scale="64" orientation="landscape" r:id="rId1"/>
  <headerFooter>
    <oddFooter>&amp;L&amp;F&amp;C&amp;K000000Public&amp;RA-&amp;P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499AF7704FFA43BE035F21CABD41FD" ma:contentTypeVersion="7" ma:contentTypeDescription="Create a new document." ma:contentTypeScope="" ma:versionID="d49718a41304208db13c9f9ab5c63d6d">
  <xsd:schema xmlns:xsd="http://www.w3.org/2001/XMLSchema" xmlns:xs="http://www.w3.org/2001/XMLSchema" xmlns:p="http://schemas.microsoft.com/office/2006/metadata/properties" xmlns:ns2="c37b5980-260e-4cbb-8e85-baf8735f362e" xmlns:ns3="64a6cbe6-afc3-4ff7-a390-59dfee124b22" targetNamespace="http://schemas.microsoft.com/office/2006/metadata/properties" ma:root="true" ma:fieldsID="31f1e62c4db668cd1781d69cfca00051" ns2:_="" ns3:_="">
    <xsd:import namespace="c37b5980-260e-4cbb-8e85-baf8735f362e"/>
    <xsd:import namespace="64a6cbe6-afc3-4ff7-a390-59dfee124b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b5980-260e-4cbb-8e85-baf8735f3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a6cbe6-afc3-4ff7-a390-59dfee124b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717DB0-914B-4301-A755-CE68C3023DF6}"/>
</file>

<file path=customXml/itemProps2.xml><?xml version="1.0" encoding="utf-8"?>
<ds:datastoreItem xmlns:ds="http://schemas.openxmlformats.org/officeDocument/2006/customXml" ds:itemID="{54A9D8F4-5EBB-4EB8-BA24-B75B82C47E1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4a6cbe6-afc3-4ff7-a390-59dfee124b22"/>
    <ds:schemaRef ds:uri="c37b5980-260e-4cbb-8e85-baf8735f362e"/>
    <ds:schemaRef ds:uri="http://www.w3.org/XML/1998/namespace"/>
    <ds:schemaRef ds:uri="http://purl.org/dc/dcmitype/"/>
  </ds:schemaRefs>
</ds:datastoreItem>
</file>

<file path=customXml/itemProps3.xml><?xml version="1.0" encoding="utf-8"?>
<ds:datastoreItem xmlns:ds="http://schemas.openxmlformats.org/officeDocument/2006/customXml" ds:itemID="{A8CBD577-FF0F-42D4-998B-14E560AB76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58</vt:i4>
      </vt:variant>
    </vt:vector>
  </HeadingPairs>
  <TitlesOfParts>
    <vt:vector size="70" baseType="lpstr">
      <vt:lpstr>Program Names</vt:lpstr>
      <vt:lpstr>Program Ex Ante &amp; Ex Post MWs</vt:lpstr>
      <vt:lpstr>Load Impacts (ExPost &amp; ExAnte)</vt:lpstr>
      <vt:lpstr>Auto DR Current Cycle</vt:lpstr>
      <vt:lpstr>Auto DR Carryover Cycles</vt:lpstr>
      <vt:lpstr>2023 DRP Expenditures</vt:lpstr>
      <vt:lpstr>DRP Carryover Expenditures</vt:lpstr>
      <vt:lpstr>Incentives</vt:lpstr>
      <vt:lpstr>Fund Shift Log</vt:lpstr>
      <vt:lpstr>Marketing Monthly</vt:lpstr>
      <vt:lpstr>Marketing Quarterly</vt:lpstr>
      <vt:lpstr>Event Summary</vt:lpstr>
      <vt:lpstr>API</vt:lpstr>
      <vt:lpstr>API_I</vt:lpstr>
      <vt:lpstr>BIP_15</vt:lpstr>
      <vt:lpstr>BIP_30</vt:lpstr>
      <vt:lpstr>BIP_I</vt:lpstr>
      <vt:lpstr>BIPG</vt:lpstr>
      <vt:lpstr>CBP_DA</vt:lpstr>
      <vt:lpstr>CBP_DO</vt:lpstr>
      <vt:lpstr>CBP_I</vt:lpstr>
      <vt:lpstr>CBPG</vt:lpstr>
      <vt:lpstr>CBPR</vt:lpstr>
      <vt:lpstr>CHARG</vt:lpstr>
      <vt:lpstr>CHARG_I</vt:lpstr>
      <vt:lpstr>CLCP</vt:lpstr>
      <vt:lpstr>CLCP_I</vt:lpstr>
      <vt:lpstr>CPP</vt:lpstr>
      <vt:lpstr>CPP_LG</vt:lpstr>
      <vt:lpstr>CPP_MED</vt:lpstr>
      <vt:lpstr>CPP_SM</vt:lpstr>
      <vt:lpstr>DBP</vt:lpstr>
      <vt:lpstr>DRAM</vt:lpstr>
      <vt:lpstr>DRPS</vt:lpstr>
      <vt:lpstr>DRR_24</vt:lpstr>
      <vt:lpstr>DRST</vt:lpstr>
      <vt:lpstr>ELRP</vt:lpstr>
      <vt:lpstr>ELRP_I</vt:lpstr>
      <vt:lpstr>EMT</vt:lpstr>
      <vt:lpstr>EMV</vt:lpstr>
      <vt:lpstr>ExAnteData</vt:lpstr>
      <vt:lpstr>ExAnteMo</vt:lpstr>
      <vt:lpstr>ExAnteProg</vt:lpstr>
      <vt:lpstr>ExPostData</vt:lpstr>
      <vt:lpstr>ExPostMo</vt:lpstr>
      <vt:lpstr>ExPostProg</vt:lpstr>
      <vt:lpstr>IDSM_NR</vt:lpstr>
      <vt:lpstr>IDSM_R</vt:lpstr>
      <vt:lpstr>OBMC</vt:lpstr>
      <vt:lpstr>OLM</vt:lpstr>
      <vt:lpstr>'DRP Carryover Expenditures'!Print_Area</vt:lpstr>
      <vt:lpstr>'Fund Shift Log'!Print_Area</vt:lpstr>
      <vt:lpstr>Incentives!Print_Area</vt:lpstr>
      <vt:lpstr>'Marketing Monthly'!Print_Area</vt:lpstr>
      <vt:lpstr>'Marketing Quarterly'!Print_Area</vt:lpstr>
      <vt:lpstr>'Program Ex Ante &amp; Ex Post MWs'!Print_Area</vt:lpstr>
      <vt:lpstr>ROTO</vt:lpstr>
      <vt:lpstr>RTP</vt:lpstr>
      <vt:lpstr>SCT</vt:lpstr>
      <vt:lpstr>SDP_I</vt:lpstr>
      <vt:lpstr>SDPC</vt:lpstr>
      <vt:lpstr>SDPG</vt:lpstr>
      <vt:lpstr>SDPR</vt:lpstr>
      <vt:lpstr>SEP</vt:lpstr>
      <vt:lpstr>SEP_I</vt:lpstr>
      <vt:lpstr>SLRP</vt:lpstr>
      <vt:lpstr>SWMEO</vt:lpstr>
      <vt:lpstr>TIP</vt:lpstr>
      <vt:lpstr>VPP</vt:lpstr>
      <vt:lpstr>VPP_I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 Brown</dc:creator>
  <cp:keywords/>
  <dc:description/>
  <cp:lastModifiedBy>Louis Brown</cp:lastModifiedBy>
  <cp:revision/>
  <cp:lastPrinted>2023-07-26T02:14:31Z</cp:lastPrinted>
  <dcterms:created xsi:type="dcterms:W3CDTF">2021-02-01T22:38:49Z</dcterms:created>
  <dcterms:modified xsi:type="dcterms:W3CDTF">2023-07-26T02:17:51Z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0x010100C2499AF7704FFA43BE035F21CABD41FD</vt:lpwstr>
  </property>
</Properties>
</file>