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480" windowHeight="11190"/>
  </bookViews>
  <sheets>
    <sheet name="Total Company" sheetId="1" r:id="rId1"/>
    <sheet name="Kirkwood 258" sheetId="2" r:id="rId2"/>
    <sheet name="Pine Grove 296" sheetId="3" r:id="rId3"/>
    <sheet name="Pioneer 295" sheetId="4" r:id="rId4"/>
    <sheet name="West Point 293" sheetId="5" r:id="rId5"/>
  </sheets>
  <definedNames>
    <definedName name="_xlnm.Print_Area" localSheetId="1">'Kirkwood 258'!$A$1:$P$49</definedName>
    <definedName name="_xlnm.Print_Area" localSheetId="2">'Pine Grove 296'!$A$1:$P$49</definedName>
    <definedName name="_xlnm.Print_Area" localSheetId="3">'Pioneer 295'!$A$1:$P$49</definedName>
    <definedName name="_xlnm.Print_Area" localSheetId="0">'Total Company'!$A$1:$P$49</definedName>
    <definedName name="_xlnm.Print_Area" localSheetId="4">'West Point 293'!$A$1:$P$49</definedName>
  </definedNames>
  <calcPr calcId="162913"/>
</workbook>
</file>

<file path=xl/calcChain.xml><?xml version="1.0" encoding="utf-8"?>
<calcChain xmlns="http://schemas.openxmlformats.org/spreadsheetml/2006/main">
  <c r="M32" i="1" l="1"/>
  <c r="L32" i="1"/>
  <c r="K32" i="1"/>
  <c r="J32" i="1"/>
  <c r="I32" i="1"/>
  <c r="H32" i="1"/>
  <c r="G32" i="1"/>
  <c r="F32" i="1"/>
  <c r="E32" i="1"/>
  <c r="P32" i="1"/>
  <c r="O32" i="1"/>
  <c r="N32" i="1"/>
  <c r="P14" i="5"/>
  <c r="P17" i="5"/>
  <c r="P14" i="4"/>
  <c r="P14" i="3"/>
  <c r="P14" i="2"/>
  <c r="P17" i="2"/>
  <c r="O14" i="5"/>
  <c r="O14" i="1"/>
  <c r="O14" i="4"/>
  <c r="O17" i="4"/>
  <c r="O14" i="3"/>
  <c r="O14" i="2"/>
  <c r="O17" i="3"/>
  <c r="N14" i="5"/>
  <c r="N14" i="4"/>
  <c r="N15" i="3"/>
  <c r="N17" i="3"/>
  <c r="N14" i="3"/>
  <c r="N15" i="2"/>
  <c r="N14" i="2"/>
  <c r="P30" i="5"/>
  <c r="O30" i="5"/>
  <c r="N30" i="5"/>
  <c r="P24" i="5"/>
  <c r="O24" i="5"/>
  <c r="N24" i="5"/>
  <c r="N17" i="5"/>
  <c r="P13" i="5"/>
  <c r="O13" i="5"/>
  <c r="N13" i="5"/>
  <c r="P30" i="4"/>
  <c r="O30" i="4"/>
  <c r="N30" i="4"/>
  <c r="P21" i="4"/>
  <c r="O21" i="4"/>
  <c r="N21" i="4"/>
  <c r="P17" i="4"/>
  <c r="N17" i="4"/>
  <c r="P13" i="4"/>
  <c r="O13" i="4"/>
  <c r="N13" i="4"/>
  <c r="P30" i="3"/>
  <c r="O30" i="3"/>
  <c r="N30" i="3"/>
  <c r="P21" i="3"/>
  <c r="O21" i="3"/>
  <c r="N21" i="3"/>
  <c r="P17" i="3"/>
  <c r="P13" i="3"/>
  <c r="O13" i="3"/>
  <c r="N13" i="3"/>
  <c r="P30" i="2"/>
  <c r="O30" i="2"/>
  <c r="N30" i="2"/>
  <c r="P27" i="2"/>
  <c r="O27" i="2"/>
  <c r="N27" i="2"/>
  <c r="O17" i="2"/>
  <c r="P13" i="2"/>
  <c r="O13" i="2"/>
  <c r="N13" i="2"/>
  <c r="N11" i="1"/>
  <c r="N12" i="1"/>
  <c r="O11" i="1"/>
  <c r="O12" i="1"/>
  <c r="P11" i="1"/>
  <c r="P12" i="1"/>
  <c r="P31" i="1"/>
  <c r="O31" i="1"/>
  <c r="N31" i="1"/>
  <c r="P29" i="1"/>
  <c r="O29" i="1"/>
  <c r="N29" i="1"/>
  <c r="P28" i="1"/>
  <c r="O28" i="1"/>
  <c r="N28" i="1"/>
  <c r="P20" i="1"/>
  <c r="O20" i="1"/>
  <c r="N20" i="1"/>
  <c r="P19" i="1"/>
  <c r="O19" i="1"/>
  <c r="N19" i="1"/>
  <c r="P15" i="1"/>
  <c r="O15" i="1"/>
  <c r="K30" i="2"/>
  <c r="M13" i="2"/>
  <c r="L13" i="2"/>
  <c r="K13" i="2"/>
  <c r="M30" i="3"/>
  <c r="L30" i="3"/>
  <c r="K30" i="3"/>
  <c r="M13" i="3"/>
  <c r="L13" i="3"/>
  <c r="K13" i="3"/>
  <c r="M30" i="4"/>
  <c r="L30" i="4"/>
  <c r="K30" i="4"/>
  <c r="M13" i="4"/>
  <c r="L13" i="4"/>
  <c r="K13" i="4"/>
  <c r="M30" i="5"/>
  <c r="L30" i="5"/>
  <c r="K30" i="5"/>
  <c r="M13" i="5"/>
  <c r="L13" i="5"/>
  <c r="K13" i="5"/>
  <c r="M27" i="2"/>
  <c r="L27" i="2"/>
  <c r="K27" i="2"/>
  <c r="M21" i="3"/>
  <c r="L21" i="3"/>
  <c r="K21" i="3"/>
  <c r="M21" i="4"/>
  <c r="L21" i="4"/>
  <c r="K21" i="4"/>
  <c r="M24" i="5"/>
  <c r="L24" i="5"/>
  <c r="K24" i="5"/>
  <c r="M17" i="2"/>
  <c r="M15" i="2"/>
  <c r="L15" i="2"/>
  <c r="K15" i="2"/>
  <c r="M17" i="3"/>
  <c r="K17" i="3"/>
  <c r="M15" i="3"/>
  <c r="M15" i="1"/>
  <c r="M17" i="1"/>
  <c r="L15" i="3"/>
  <c r="K15" i="3"/>
  <c r="L17" i="4"/>
  <c r="K17" i="4"/>
  <c r="M15" i="4"/>
  <c r="M17" i="4"/>
  <c r="L15" i="4"/>
  <c r="K15" i="4"/>
  <c r="M15" i="5"/>
  <c r="M17" i="5"/>
  <c r="L15" i="5"/>
  <c r="L17" i="5"/>
  <c r="L15" i="1"/>
  <c r="K15" i="5"/>
  <c r="K17" i="5"/>
  <c r="M14" i="5"/>
  <c r="M14" i="4"/>
  <c r="M14" i="3"/>
  <c r="M14" i="2"/>
  <c r="M14" i="1"/>
  <c r="L14" i="2"/>
  <c r="L17" i="2"/>
  <c r="L14" i="3"/>
  <c r="L17" i="3"/>
  <c r="L14" i="4"/>
  <c r="L14" i="5"/>
  <c r="K14" i="5"/>
  <c r="K14" i="4"/>
  <c r="K14" i="3"/>
  <c r="K14" i="2"/>
  <c r="K17" i="2"/>
  <c r="O2" i="5"/>
  <c r="O2" i="4"/>
  <c r="O2" i="3"/>
  <c r="O2" i="2"/>
  <c r="M31" i="1"/>
  <c r="L31" i="1"/>
  <c r="K31" i="1"/>
  <c r="M29" i="1"/>
  <c r="L29" i="1"/>
  <c r="K29" i="1"/>
  <c r="M28" i="1"/>
  <c r="L28" i="1"/>
  <c r="K28" i="1"/>
  <c r="M20" i="1"/>
  <c r="M21" i="1"/>
  <c r="L20" i="1"/>
  <c r="L21" i="1"/>
  <c r="K20" i="1"/>
  <c r="M19" i="1"/>
  <c r="L19" i="1"/>
  <c r="K19" i="1"/>
  <c r="K14" i="1"/>
  <c r="K16" i="1"/>
  <c r="M12" i="1"/>
  <c r="M13" i="1"/>
  <c r="L12" i="1"/>
  <c r="L13" i="1"/>
  <c r="K12" i="1"/>
  <c r="K13" i="1"/>
  <c r="M11" i="1"/>
  <c r="L11" i="1"/>
  <c r="K11" i="1"/>
  <c r="J30" i="2"/>
  <c r="I30" i="2"/>
  <c r="J30" i="3"/>
  <c r="I30" i="3"/>
  <c r="H30" i="3"/>
  <c r="J21" i="3"/>
  <c r="I21" i="3"/>
  <c r="H21" i="3"/>
  <c r="J13" i="3"/>
  <c r="I13" i="3"/>
  <c r="H13" i="3"/>
  <c r="J30" i="4"/>
  <c r="I30" i="4"/>
  <c r="H30" i="4"/>
  <c r="J21" i="4"/>
  <c r="I21" i="4"/>
  <c r="H21" i="4"/>
  <c r="I17" i="4"/>
  <c r="J13" i="4"/>
  <c r="I13" i="4"/>
  <c r="H13" i="4"/>
  <c r="J13" i="5"/>
  <c r="I13" i="5"/>
  <c r="H13" i="5"/>
  <c r="J17" i="5"/>
  <c r="I17" i="5"/>
  <c r="H17" i="5"/>
  <c r="H30" i="5"/>
  <c r="I30" i="5"/>
  <c r="J30" i="5"/>
  <c r="H24" i="5"/>
  <c r="I24" i="5"/>
  <c r="J24" i="5"/>
  <c r="J27" i="2"/>
  <c r="I27" i="2"/>
  <c r="H27" i="2"/>
  <c r="J13" i="2"/>
  <c r="H13" i="2"/>
  <c r="J15" i="2"/>
  <c r="J15" i="1"/>
  <c r="I15" i="2"/>
  <c r="I17" i="2"/>
  <c r="I15" i="1"/>
  <c r="H15" i="2"/>
  <c r="H15" i="1"/>
  <c r="J14" i="5"/>
  <c r="J14" i="4"/>
  <c r="J17" i="4"/>
  <c r="J14" i="3"/>
  <c r="J17" i="3"/>
  <c r="J14" i="2"/>
  <c r="J16" i="2"/>
  <c r="I14" i="2"/>
  <c r="I16" i="2"/>
  <c r="I14" i="3"/>
  <c r="I17" i="3"/>
  <c r="I14" i="4"/>
  <c r="I14" i="5"/>
  <c r="H14" i="5"/>
  <c r="H11" i="1"/>
  <c r="H13" i="1"/>
  <c r="H14" i="4"/>
  <c r="H17" i="4"/>
  <c r="H14" i="3"/>
  <c r="H17" i="3"/>
  <c r="H14" i="2"/>
  <c r="H16" i="2"/>
  <c r="B49" i="2"/>
  <c r="B48" i="2"/>
  <c r="B47" i="2"/>
  <c r="J31" i="1"/>
  <c r="I31" i="1"/>
  <c r="H31" i="1"/>
  <c r="J29" i="1"/>
  <c r="J30" i="1"/>
  <c r="I29" i="1"/>
  <c r="I30" i="1"/>
  <c r="H29" i="1"/>
  <c r="J28" i="1"/>
  <c r="I28" i="1"/>
  <c r="H28" i="1"/>
  <c r="J20" i="1"/>
  <c r="I20" i="1"/>
  <c r="I21" i="1"/>
  <c r="H20" i="1"/>
  <c r="H21" i="1"/>
  <c r="J19" i="1"/>
  <c r="I19" i="1"/>
  <c r="H19" i="1"/>
  <c r="J12" i="1"/>
  <c r="I12" i="1"/>
  <c r="H12" i="1"/>
  <c r="J11" i="1"/>
  <c r="I11" i="1"/>
  <c r="G31" i="1"/>
  <c r="F31" i="1"/>
  <c r="E31" i="1"/>
  <c r="G30" i="4"/>
  <c r="F30" i="4"/>
  <c r="E30" i="4"/>
  <c r="G30" i="5"/>
  <c r="F30" i="5"/>
  <c r="G30" i="3"/>
  <c r="F30" i="3"/>
  <c r="E30" i="5"/>
  <c r="E30" i="3"/>
  <c r="F30" i="2"/>
  <c r="G24" i="5"/>
  <c r="F24" i="5"/>
  <c r="E24" i="5"/>
  <c r="G21" i="4"/>
  <c r="F21" i="4"/>
  <c r="E21" i="4"/>
  <c r="G21" i="3"/>
  <c r="F21" i="3"/>
  <c r="E21" i="3"/>
  <c r="G27" i="2"/>
  <c r="F27" i="2"/>
  <c r="E27" i="2"/>
  <c r="E15" i="1"/>
  <c r="G17" i="4"/>
  <c r="F17" i="4"/>
  <c r="G16" i="4"/>
  <c r="F16" i="4"/>
  <c r="G17" i="5"/>
  <c r="F17" i="5"/>
  <c r="G16" i="5"/>
  <c r="F16" i="5"/>
  <c r="G17" i="3"/>
  <c r="F17" i="3"/>
  <c r="G16" i="3"/>
  <c r="F16" i="3"/>
  <c r="E17" i="4"/>
  <c r="E17" i="5"/>
  <c r="E17" i="3"/>
  <c r="E16" i="4"/>
  <c r="E16" i="5"/>
  <c r="E16" i="3"/>
  <c r="G17" i="2"/>
  <c r="F17" i="2"/>
  <c r="E17" i="2"/>
  <c r="G16" i="2"/>
  <c r="F16" i="2"/>
  <c r="E16" i="2"/>
  <c r="G13" i="5"/>
  <c r="F13" i="5"/>
  <c r="E13" i="5"/>
  <c r="G13" i="4"/>
  <c r="F13" i="4"/>
  <c r="E13" i="4"/>
  <c r="G13" i="3"/>
  <c r="F13" i="3"/>
  <c r="E13" i="3"/>
  <c r="G13" i="2"/>
  <c r="F13" i="2"/>
  <c r="E13" i="2"/>
  <c r="E29" i="1"/>
  <c r="G29" i="1"/>
  <c r="F29" i="1"/>
  <c r="F30" i="1"/>
  <c r="G28" i="1"/>
  <c r="G30" i="1"/>
  <c r="F28" i="1"/>
  <c r="E28" i="1"/>
  <c r="E30" i="1"/>
  <c r="G20" i="1"/>
  <c r="F20" i="1"/>
  <c r="E20" i="1"/>
  <c r="G19" i="1"/>
  <c r="F19" i="1"/>
  <c r="F21" i="1"/>
  <c r="E19" i="1"/>
  <c r="E21" i="1"/>
  <c r="G15" i="1"/>
  <c r="G16" i="1"/>
  <c r="F15" i="1"/>
  <c r="F17" i="1"/>
  <c r="G14" i="1"/>
  <c r="F14" i="1"/>
  <c r="E14" i="1"/>
  <c r="E12" i="1"/>
  <c r="G12" i="1"/>
  <c r="F12" i="1"/>
  <c r="F13" i="1"/>
  <c r="G11" i="1"/>
  <c r="F11" i="1"/>
  <c r="E11" i="1"/>
  <c r="G21" i="1"/>
  <c r="E17" i="1"/>
  <c r="E13" i="1"/>
  <c r="G13" i="1"/>
  <c r="F16" i="1"/>
  <c r="E16" i="1"/>
  <c r="J21" i="1"/>
  <c r="H30" i="1"/>
  <c r="J13" i="1"/>
  <c r="K21" i="1"/>
  <c r="K15" i="1"/>
  <c r="L30" i="1"/>
  <c r="M30" i="1"/>
  <c r="K30" i="1"/>
  <c r="M16" i="1"/>
  <c r="L14" i="1"/>
  <c r="J14" i="1"/>
  <c r="J16" i="1"/>
  <c r="J17" i="2"/>
  <c r="K17" i="1"/>
  <c r="H14" i="1"/>
  <c r="H16" i="1"/>
  <c r="H17" i="2"/>
  <c r="G17" i="1"/>
  <c r="I14" i="1"/>
  <c r="I16" i="1"/>
  <c r="L17" i="1"/>
  <c r="L16" i="1"/>
  <c r="H17" i="1"/>
  <c r="I17" i="1"/>
  <c r="J17" i="1"/>
  <c r="O30" i="1"/>
  <c r="P30" i="1"/>
  <c r="N30" i="1"/>
  <c r="P21" i="1"/>
  <c r="O21" i="1"/>
  <c r="N21" i="1"/>
  <c r="P14" i="1"/>
  <c r="P17" i="1"/>
  <c r="O17" i="5"/>
  <c r="O16" i="1"/>
  <c r="O17" i="1"/>
  <c r="N15" i="1"/>
  <c r="N17" i="2"/>
  <c r="N14" i="1"/>
  <c r="P13" i="1"/>
  <c r="O13" i="1"/>
  <c r="N13" i="1"/>
  <c r="P16" i="1"/>
  <c r="N16" i="1"/>
  <c r="N17" i="1"/>
</calcChain>
</file>

<file path=xl/sharedStrings.xml><?xml version="1.0" encoding="utf-8"?>
<sst xmlns="http://schemas.openxmlformats.org/spreadsheetml/2006/main" count="401" uniqueCount="86">
  <si>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</si>
  <si>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</si>
  <si>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</si>
  <si>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</si>
  <si>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</si>
  <si>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</si>
  <si>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</si>
  <si>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</si>
  <si>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</si>
  <si>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</si>
  <si>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</si>
  <si>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</si>
  <si>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</si>
  <si>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</si>
  <si>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</si>
  <si>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</si>
  <si>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</si>
  <si>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</si>
  <si>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</si>
  <si>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</si>
  <si>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</si>
  <si>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</si>
  <si>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</si>
  <si>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</si>
  <si>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</si>
  <si>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</si>
  <si>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</si>
  <si>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</si>
  <si>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</si>
  <si>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</si>
  <si>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</si>
  <si>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</si>
  <si>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</si>
  <si>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</si>
  <si>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</si>
  <si>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</si>
  <si>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</si>
  <si>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</si>
  <si>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</si>
  <si>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</si>
  <si>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</si>
  <si>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</si>
  <si>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</si>
  <si>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</si>
  <si>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</si>
  <si>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</si>
  <si>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</si>
  <si>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</si>
  <si>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</si>
  <si>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</si>
  <si>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</si>
  <si>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</si>
  <si>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</si>
  <si>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</si>
  <si>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</si>
  <si>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</si>
  <si>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</si>
  <si>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</si>
  <si>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The Volcano Telephone Co.</t>
  </si>
  <si>
    <t>Total Company</t>
  </si>
  <si>
    <t>Kirkwood 258</t>
  </si>
  <si>
    <t>Pine Grove 296</t>
  </si>
  <si>
    <t>Pioneer 295</t>
  </si>
  <si>
    <t>West Point 293</t>
  </si>
  <si>
    <t xml:space="preserve"> </t>
  </si>
  <si>
    <t>Date filed
(05/15/2015)</t>
  </si>
  <si>
    <t>Date filed
(08/15/2015)</t>
  </si>
  <si>
    <t>Date filed
(11/15/2015)</t>
  </si>
  <si>
    <t>Date filed
(02/15/2016)</t>
  </si>
  <si>
    <t>Rick L. McCarley</t>
  </si>
  <si>
    <t>(209) 296-1435</t>
  </si>
  <si>
    <t>rickm@volcanotel.com</t>
  </si>
  <si>
    <t>0</t>
  </si>
  <si>
    <t>7.20</t>
  </si>
  <si>
    <t>3.60</t>
  </si>
  <si>
    <t>179.40</t>
  </si>
  <si>
    <t>16.31</t>
  </si>
  <si>
    <t>59.31</t>
  </si>
  <si>
    <t>8.47</t>
  </si>
  <si>
    <t>4.80</t>
  </si>
  <si>
    <t>206.54</t>
  </si>
  <si>
    <t>11.47</t>
  </si>
  <si>
    <t>55.44</t>
  </si>
  <si>
    <t>9.24</t>
  </si>
  <si>
    <t>Signature:</t>
  </si>
  <si>
    <t>John Lundgren, 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</si>
</sst>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1" formatCode="0.000"/>
    <numFmt numFmtId="172" formatCode="0.0"/>
    <numFmt numFmtId="173" formatCode="0.000%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8" fillId="0" borderId="0" xfId="0" applyFont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2" xfId="0" applyFont="1" applyFill="1" applyBorder="1"/>
    <xf numFmtId="0" fontId="8" fillId="2" borderId="4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0" borderId="1" xfId="0" applyFont="1" applyBorder="1"/>
    <xf numFmtId="0" fontId="5" fillId="2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72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3" fontId="5" fillId="0" borderId="3" xfId="3" applyNumberFormat="1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/>
    </xf>
    <xf numFmtId="171" fontId="5" fillId="2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2" fontId="12" fillId="2" borderId="6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8" fillId="0" borderId="1" xfId="0" applyFont="1" applyBorder="1"/>
    <xf numFmtId="0" fontId="12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73" fontId="5" fillId="0" borderId="6" xfId="3" applyNumberFormat="1" applyFont="1" applyFill="1" applyBorder="1" applyAlignment="1">
      <alignment horizontal="center"/>
    </xf>
    <xf numFmtId="171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73" fontId="5" fillId="2" borderId="3" xfId="3" applyNumberFormat="1" applyFont="1" applyFill="1" applyBorder="1" applyAlignment="1">
      <alignment horizontal="center"/>
    </xf>
    <xf numFmtId="2" fontId="12" fillId="2" borderId="3" xfId="1" applyNumberFormat="1" applyFont="1" applyFill="1" applyBorder="1" applyAlignment="1">
      <alignment horizontal="center"/>
    </xf>
    <xf numFmtId="172" fontId="5" fillId="2" borderId="3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72" fontId="5" fillId="2" borderId="10" xfId="0" applyNumberFormat="1" applyFont="1" applyFill="1" applyBorder="1" applyAlignment="1">
      <alignment horizontal="center"/>
    </xf>
    <xf numFmtId="173" fontId="5" fillId="2" borderId="10" xfId="3" applyNumberFormat="1" applyFont="1" applyFill="1" applyBorder="1" applyAlignment="1">
      <alignment horizontal="center"/>
    </xf>
    <xf numFmtId="171" fontId="5" fillId="2" borderId="10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72" fontId="5" fillId="2" borderId="6" xfId="0" applyNumberFormat="1" applyFont="1" applyFill="1" applyBorder="1" applyAlignment="1">
      <alignment horizontal="center"/>
    </xf>
    <xf numFmtId="173" fontId="5" fillId="2" borderId="6" xfId="3" applyNumberFormat="1" applyFont="1" applyFill="1" applyBorder="1" applyAlignment="1">
      <alignment horizontal="center"/>
    </xf>
    <xf numFmtId="171" fontId="5" fillId="2" borderId="6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14" fillId="0" borderId="1" xfId="2" applyFont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2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9" xfId="0" applyFont="1" applyBorder="1" applyAlignment="1"/>
    <xf numFmtId="0" fontId="8" fillId="0" borderId="13" xfId="0" applyFont="1" applyBorder="1" applyAlignment="1"/>
    <xf numFmtId="0" fontId="6" fillId="0" borderId="10" xfId="0" applyFont="1" applyBorder="1" applyAlignment="1"/>
    <xf numFmtId="0" fontId="8" fillId="0" borderId="14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4" xfId="0" applyFont="1" applyBorder="1" applyAlignment="1"/>
    <xf numFmtId="0" fontId="8" fillId="0" borderId="3" xfId="0" applyFont="1" applyFill="1" applyBorder="1" applyAlignment="1"/>
    <xf numFmtId="0" fontId="6" fillId="0" borderId="1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12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7" xfId="0" applyFont="1" applyBorder="1" applyAlignment="1"/>
    <xf numFmtId="0" fontId="6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/>
    <xf numFmtId="0" fontId="0" fillId="2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/>
    <xf numFmtId="0" fontId="8" fillId="2" borderId="14" xfId="0" applyFont="1" applyFill="1" applyBorder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ckm@volcanote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ickm@volcanotel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eithb@volcanotel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eithb@volcanotel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eithb@volcanotel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tabSelected="1" zoomScale="85" zoomScaleNormal="85" workbookViewId="0">
      <selection activeCell="E19" sqref="E19:P19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20" t="s">
        <v>23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2:16" s="3" customFormat="1" ht="13.5" thickBot="1" x14ac:dyDescent="0.25">
      <c r="B2" s="3" t="s">
        <v>36</v>
      </c>
      <c r="D2" s="145" t="s">
        <v>58</v>
      </c>
      <c r="E2" s="145"/>
      <c r="I2" s="4" t="s">
        <v>32</v>
      </c>
      <c r="J2" s="9">
        <v>1019</v>
      </c>
      <c r="M2" s="3" t="s">
        <v>37</v>
      </c>
      <c r="N2" s="6"/>
      <c r="O2" s="46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2" t="s">
        <v>0</v>
      </c>
      <c r="C7" s="153"/>
      <c r="D7" s="154"/>
      <c r="E7" s="100" t="s">
        <v>65</v>
      </c>
      <c r="F7" s="106"/>
      <c r="G7" s="106"/>
      <c r="H7" s="100" t="s">
        <v>66</v>
      </c>
      <c r="I7" s="106"/>
      <c r="J7" s="146"/>
      <c r="K7" s="100" t="s">
        <v>67</v>
      </c>
      <c r="L7" s="101"/>
      <c r="M7" s="102"/>
      <c r="N7" s="124" t="s">
        <v>68</v>
      </c>
      <c r="O7" s="125"/>
      <c r="P7" s="126"/>
    </row>
    <row r="8" spans="2:16" s="2" customFormat="1" ht="12.75" customHeight="1" x14ac:dyDescent="0.2">
      <c r="B8" s="155"/>
      <c r="C8" s="156"/>
      <c r="D8" s="157"/>
      <c r="E8" s="107"/>
      <c r="F8" s="108"/>
      <c r="G8" s="108"/>
      <c r="H8" s="107"/>
      <c r="I8" s="108"/>
      <c r="J8" s="147"/>
      <c r="K8" s="103"/>
      <c r="L8" s="104"/>
      <c r="M8" s="105"/>
      <c r="N8" s="127"/>
      <c r="O8" s="128"/>
      <c r="P8" s="129"/>
    </row>
    <row r="9" spans="2:16" ht="12.75" customHeight="1" x14ac:dyDescent="0.2">
      <c r="B9" s="155"/>
      <c r="C9" s="156"/>
      <c r="D9" s="157"/>
      <c r="E9" s="117" t="s">
        <v>1</v>
      </c>
      <c r="F9" s="118"/>
      <c r="G9" s="119"/>
      <c r="H9" s="117" t="s">
        <v>2</v>
      </c>
      <c r="I9" s="118"/>
      <c r="J9" s="119"/>
      <c r="K9" s="117" t="s">
        <v>3</v>
      </c>
      <c r="L9" s="118"/>
      <c r="M9" s="119"/>
      <c r="N9" s="109" t="s">
        <v>4</v>
      </c>
      <c r="O9" s="110"/>
      <c r="P9" s="111"/>
    </row>
    <row r="10" spans="2:16" s="10" customFormat="1" ht="12.75" customHeight="1" x14ac:dyDescent="0.2">
      <c r="B10" s="137"/>
      <c r="C10" s="158"/>
      <c r="D10" s="138"/>
      <c r="E10" s="25" t="s">
        <v>5</v>
      </c>
      <c r="F10" s="25" t="s">
        <v>6</v>
      </c>
      <c r="G10" s="26" t="s">
        <v>7</v>
      </c>
      <c r="H10" s="25" t="s">
        <v>8</v>
      </c>
      <c r="I10" s="26" t="s">
        <v>9</v>
      </c>
      <c r="J10" s="25" t="s">
        <v>10</v>
      </c>
      <c r="K10" s="26" t="s">
        <v>11</v>
      </c>
      <c r="L10" s="25" t="s">
        <v>12</v>
      </c>
      <c r="M10" s="26" t="s">
        <v>13</v>
      </c>
      <c r="N10" s="23" t="s">
        <v>14</v>
      </c>
      <c r="O10" s="24" t="s">
        <v>15</v>
      </c>
      <c r="P10" s="23" t="s">
        <v>16</v>
      </c>
    </row>
    <row r="11" spans="2:16" ht="12.75" customHeight="1" x14ac:dyDescent="0.2">
      <c r="B11" s="133" t="s">
        <v>43</v>
      </c>
      <c r="C11" s="134"/>
      <c r="D11" s="11" t="s">
        <v>26</v>
      </c>
      <c r="E11" s="78">
        <f>'Kirkwood 258'!E11+'Pine Grove 296'!E11+'Pioneer 295'!E11+'West Point 293'!E11</f>
        <v>43</v>
      </c>
      <c r="F11" s="78">
        <f>'Kirkwood 258'!F11+'Pine Grove 296'!F11+'Pioneer 295'!F11+'West Point 293'!F11</f>
        <v>40</v>
      </c>
      <c r="G11" s="78">
        <f>'Kirkwood 258'!G11+'Pine Grove 296'!G11+'Pioneer 295'!G11+'West Point 293'!G11</f>
        <v>68</v>
      </c>
      <c r="H11" s="47">
        <f>'Kirkwood 258'!H11+'Pine Grove 296'!H11+'Pioneer 295'!H11+'West Point 293'!H11</f>
        <v>59</v>
      </c>
      <c r="I11" s="86">
        <f>'Kirkwood 258'!I11+'Pine Grove 296'!I11+'Pioneer 295'!I11+'West Point 293'!I11</f>
        <v>91</v>
      </c>
      <c r="J11" s="47">
        <f>'Kirkwood 258'!J11+'Pine Grove 296'!J11+'Pioneer 295'!J11+'West Point 293'!J11</f>
        <v>100</v>
      </c>
      <c r="K11" s="47">
        <f>'Kirkwood 258'!K11+'Pine Grove 296'!K11+'Pioneer 295'!K11+'West Point 293'!K11</f>
        <v>124</v>
      </c>
      <c r="L11" s="86">
        <f>'Kirkwood 258'!L11+'Pine Grove 296'!L11+'Pioneer 295'!L11+'West Point 293'!L11</f>
        <v>72</v>
      </c>
      <c r="M11" s="47">
        <f>'Kirkwood 258'!M11+'Pine Grove 296'!M11+'Pioneer 295'!M11+'West Point 293'!M11</f>
        <v>94</v>
      </c>
      <c r="N11" s="48">
        <f>'Kirkwood 258'!N11+'Pine Grove 296'!N11+'Pioneer 295'!N11+'West Point 293'!N11</f>
        <v>113</v>
      </c>
      <c r="O11" s="67">
        <f>'Kirkwood 258'!O11+'Pine Grove 296'!O11+'Pioneer 295'!O11+'West Point 293'!O11</f>
        <v>92</v>
      </c>
      <c r="P11" s="48">
        <f>'Kirkwood 258'!P11+'Pine Grove 296'!P11+'Pioneer 295'!P11+'West Point 293'!P11</f>
        <v>49</v>
      </c>
    </row>
    <row r="12" spans="2:16" x14ac:dyDescent="0.2">
      <c r="B12" s="135"/>
      <c r="C12" s="136"/>
      <c r="D12" s="12" t="s">
        <v>27</v>
      </c>
      <c r="E12" s="78">
        <f>'Kirkwood 258'!E12+'Pine Grove 296'!E12+'Pioneer 295'!E12+'West Point 293'!E12</f>
        <v>40</v>
      </c>
      <c r="F12" s="78">
        <f>'Kirkwood 258'!F12+'Pine Grove 296'!F12+'Pioneer 295'!F12+'West Point 293'!F12</f>
        <v>41</v>
      </c>
      <c r="G12" s="78">
        <f>'Kirkwood 258'!G12+'Pine Grove 296'!G12+'Pioneer 295'!G12+'West Point 293'!G12</f>
        <v>51</v>
      </c>
      <c r="H12" s="47">
        <f>'Kirkwood 258'!H12+'Pine Grove 296'!H12+'Pioneer 295'!H12+'West Point 293'!H12</f>
        <v>57</v>
      </c>
      <c r="I12" s="86">
        <f>'Kirkwood 258'!I12+'Pine Grove 296'!I12+'Pioneer 295'!I12+'West Point 293'!I12</f>
        <v>48</v>
      </c>
      <c r="J12" s="47">
        <f>'Kirkwood 258'!J12+'Pine Grove 296'!J12+'Pioneer 295'!J12+'West Point 293'!J12</f>
        <v>64</v>
      </c>
      <c r="K12" s="47">
        <f>'Kirkwood 258'!K12+'Pine Grove 296'!K12+'Pioneer 295'!K12+'West Point 293'!K12</f>
        <v>77</v>
      </c>
      <c r="L12" s="86">
        <f>'Kirkwood 258'!L12+'Pine Grove 296'!L12+'Pioneer 295'!L12+'West Point 293'!L12</f>
        <v>60</v>
      </c>
      <c r="M12" s="47">
        <f>'Kirkwood 258'!M12+'Pine Grove 296'!M12+'Pioneer 295'!M12+'West Point 293'!M12</f>
        <v>44</v>
      </c>
      <c r="N12" s="48">
        <f>'Kirkwood 258'!N12+'Pine Grove 296'!N12+'Pioneer 295'!N12+'West Point 293'!N12</f>
        <v>58</v>
      </c>
      <c r="O12" s="67">
        <f>'Kirkwood 258'!O12+'Pine Grove 296'!O12+'Pioneer 295'!O12+'West Point 293'!O12</f>
        <v>62</v>
      </c>
      <c r="P12" s="48">
        <f>'Kirkwood 258'!P12+'Pine Grove 296'!P12+'Pioneer 295'!P12+'West Point 293'!P12</f>
        <v>49</v>
      </c>
    </row>
    <row r="13" spans="2:16" x14ac:dyDescent="0.2">
      <c r="B13" s="137"/>
      <c r="C13" s="138"/>
      <c r="D13" s="11" t="s">
        <v>28</v>
      </c>
      <c r="E13" s="77">
        <f t="shared" ref="E13:J13" si="0">+E11/E12</f>
        <v>1.075</v>
      </c>
      <c r="F13" s="77">
        <f t="shared" si="0"/>
        <v>0.97560975609756095</v>
      </c>
      <c r="G13" s="79">
        <f t="shared" si="0"/>
        <v>1.3333333333333333</v>
      </c>
      <c r="H13" s="77">
        <f t="shared" si="0"/>
        <v>1.0350877192982457</v>
      </c>
      <c r="I13" s="87">
        <v>0</v>
      </c>
      <c r="J13" s="77">
        <f t="shared" si="0"/>
        <v>1.5625</v>
      </c>
      <c r="K13" s="77">
        <f t="shared" ref="K13:P13" si="1">+K11/K12</f>
        <v>1.6103896103896105</v>
      </c>
      <c r="L13" s="77">
        <f t="shared" si="1"/>
        <v>1.2</v>
      </c>
      <c r="M13" s="77">
        <f t="shared" si="1"/>
        <v>2.1363636363636362</v>
      </c>
      <c r="N13" s="50">
        <f t="shared" si="1"/>
        <v>1.9482758620689655</v>
      </c>
      <c r="O13" s="50">
        <f t="shared" si="1"/>
        <v>1.4838709677419355</v>
      </c>
      <c r="P13" s="50">
        <f t="shared" si="1"/>
        <v>1</v>
      </c>
    </row>
    <row r="14" spans="2:16" ht="12.75" customHeight="1" x14ac:dyDescent="0.2">
      <c r="B14" s="133" t="s">
        <v>44</v>
      </c>
      <c r="C14" s="134"/>
      <c r="D14" s="13" t="s">
        <v>45</v>
      </c>
      <c r="E14" s="47">
        <f>'Kirkwood 258'!E14+'Pine Grove 296'!E14+'Pioneer 295'!E14+'West Point 293'!E14</f>
        <v>453</v>
      </c>
      <c r="F14" s="47">
        <f>'Kirkwood 258'!F14+'Pine Grove 296'!F14+'Pioneer 295'!F14+'West Point 293'!F14</f>
        <v>331</v>
      </c>
      <c r="G14" s="78">
        <f>'Kirkwood 258'!G14+'Pine Grove 296'!G14+'Pioneer 295'!G14+'West Point 293'!G14</f>
        <v>564</v>
      </c>
      <c r="H14" s="47">
        <f>'Kirkwood 258'!H14+'Pine Grove 296'!H14+'Pioneer 295'!H14+'West Point 293'!H14</f>
        <v>455</v>
      </c>
      <c r="I14" s="86">
        <f>'Kirkwood 258'!I14+'Pine Grove 296'!I14+'Pioneer 295'!I14+'West Point 293'!I14</f>
        <v>412</v>
      </c>
      <c r="J14" s="47">
        <f>'Kirkwood 258'!J14+'Pine Grove 296'!J14+'Pioneer 295'!J14+'West Point 293'!J14</f>
        <v>459</v>
      </c>
      <c r="K14" s="47">
        <f>'Kirkwood 258'!K14+'Pine Grove 296'!K14+'Pioneer 295'!K14+'West Point 293'!K14</f>
        <v>470</v>
      </c>
      <c r="L14" s="86">
        <f>'Kirkwood 258'!L14+'Pine Grove 296'!L14+'Pioneer 295'!L14+'West Point 293'!L14</f>
        <v>371</v>
      </c>
      <c r="M14" s="47">
        <f>'Kirkwood 258'!M14+'Pine Grove 296'!M14+'Pioneer 295'!M14+'West Point 293'!M14</f>
        <v>281</v>
      </c>
      <c r="N14" s="48">
        <f>'Kirkwood 258'!N14+'Pine Grove 296'!N14+'Pioneer 295'!N14+'West Point 293'!N14</f>
        <v>458</v>
      </c>
      <c r="O14" s="67">
        <f>'Kirkwood 258'!O14+'Pine Grove 296'!O14+'Pioneer 295'!O14+'West Point 293'!O14</f>
        <v>394</v>
      </c>
      <c r="P14" s="48">
        <f>'Kirkwood 258'!P14+'Pine Grove 296'!P14+'Pioneer 295'!P14+'West Point 293'!P14</f>
        <v>401</v>
      </c>
    </row>
    <row r="15" spans="2:16" ht="15" customHeight="1" x14ac:dyDescent="0.2">
      <c r="B15" s="135"/>
      <c r="C15" s="136"/>
      <c r="D15" s="14" t="s">
        <v>29</v>
      </c>
      <c r="E15" s="47">
        <f>'Kirkwood 258'!E15+'Pine Grove 296'!E15+'Pioneer 295'!E15+'West Point 293'!E15</f>
        <v>453</v>
      </c>
      <c r="F15" s="47">
        <f>'Kirkwood 258'!F15+'Pine Grove 296'!F15+'Pioneer 295'!F15+'West Point 293'!F15</f>
        <v>331</v>
      </c>
      <c r="G15" s="78">
        <f>'Kirkwood 258'!G15+'Pine Grove 296'!G15+'Pioneer 295'!G15+'West Point 293'!G15</f>
        <v>564</v>
      </c>
      <c r="H15" s="47">
        <f>'Kirkwood 258'!H15+'Pine Grove 296'!H15+'Pioneer 295'!H15+'West Point 293'!H15</f>
        <v>455</v>
      </c>
      <c r="I15" s="86">
        <f>'Kirkwood 258'!I15+'Pine Grove 296'!I15+'Pioneer 295'!I15+'West Point 293'!I15</f>
        <v>412</v>
      </c>
      <c r="J15" s="47">
        <f>'Kirkwood 258'!J15+'Pine Grove 296'!J15+'Pioneer 295'!J15+'West Point 293'!J15</f>
        <v>459</v>
      </c>
      <c r="K15" s="47">
        <f>'Kirkwood 258'!K15+'Pine Grove 296'!K15+'Pioneer 295'!K15+'West Point 293'!K15</f>
        <v>470</v>
      </c>
      <c r="L15" s="86">
        <f>'Kirkwood 258'!L15+'Pine Grove 296'!L15+'Pioneer 295'!L15+'West Point 293'!L15</f>
        <v>371</v>
      </c>
      <c r="M15" s="47">
        <f>'Kirkwood 258'!M15+'Pine Grove 296'!M15+'Pioneer 295'!M15+'West Point 293'!M15</f>
        <v>281</v>
      </c>
      <c r="N15" s="48">
        <f>'Kirkwood 258'!N15+'Pine Grove 296'!N15+'Pioneer 295'!N15+'West Point 293'!N15</f>
        <v>458</v>
      </c>
      <c r="O15" s="67">
        <f>'Kirkwood 258'!O15+'Pine Grove 296'!O15+'Pioneer 295'!O15+'West Point 293'!O15</f>
        <v>394</v>
      </c>
      <c r="P15" s="48">
        <f>'Kirkwood 258'!P15+'Pine Grove 296'!P15+'Pioneer 295'!P15+'West Point 293'!P15</f>
        <v>401</v>
      </c>
    </row>
    <row r="16" spans="2:16" ht="13.5" customHeight="1" x14ac:dyDescent="0.2">
      <c r="B16" s="135"/>
      <c r="C16" s="136"/>
      <c r="D16" s="14" t="s">
        <v>30</v>
      </c>
      <c r="E16" s="72">
        <f t="shared" ref="E16:J16" si="2">E14-E15</f>
        <v>0</v>
      </c>
      <c r="F16" s="49">
        <f t="shared" si="2"/>
        <v>0</v>
      </c>
      <c r="G16" s="71">
        <f t="shared" si="2"/>
        <v>0</v>
      </c>
      <c r="H16" s="49">
        <f t="shared" si="2"/>
        <v>0</v>
      </c>
      <c r="I16" s="85">
        <f t="shared" si="2"/>
        <v>0</v>
      </c>
      <c r="J16" s="49">
        <f t="shared" si="2"/>
        <v>0</v>
      </c>
      <c r="K16" s="49">
        <f t="shared" ref="K16:P16" si="3">K14-K15</f>
        <v>0</v>
      </c>
      <c r="L16" s="92">
        <f t="shared" si="3"/>
        <v>0</v>
      </c>
      <c r="M16" s="49">
        <f t="shared" si="3"/>
        <v>0</v>
      </c>
      <c r="N16" s="51">
        <f t="shared" si="3"/>
        <v>0</v>
      </c>
      <c r="O16" s="35">
        <f t="shared" si="3"/>
        <v>0</v>
      </c>
      <c r="P16" s="51">
        <f t="shared" si="3"/>
        <v>0</v>
      </c>
    </row>
    <row r="17" spans="2:16" x14ac:dyDescent="0.2">
      <c r="B17" s="137"/>
      <c r="C17" s="138"/>
      <c r="D17" s="11" t="s">
        <v>17</v>
      </c>
      <c r="E17" s="75">
        <f t="shared" ref="E17:J17" si="4">E15/E14</f>
        <v>1</v>
      </c>
      <c r="F17" s="75">
        <f t="shared" si="4"/>
        <v>1</v>
      </c>
      <c r="G17" s="80">
        <f t="shared" si="4"/>
        <v>1</v>
      </c>
      <c r="H17" s="75">
        <f t="shared" si="4"/>
        <v>1</v>
      </c>
      <c r="I17" s="88">
        <f t="shared" si="4"/>
        <v>1</v>
      </c>
      <c r="J17" s="75">
        <f t="shared" si="4"/>
        <v>1</v>
      </c>
      <c r="K17" s="75">
        <f t="shared" ref="K17:P17" si="5">K15/K14</f>
        <v>1</v>
      </c>
      <c r="L17" s="88">
        <f t="shared" si="5"/>
        <v>1</v>
      </c>
      <c r="M17" s="75">
        <f t="shared" si="5"/>
        <v>1</v>
      </c>
      <c r="N17" s="52">
        <f t="shared" si="5"/>
        <v>1</v>
      </c>
      <c r="O17" s="68">
        <f t="shared" si="5"/>
        <v>1</v>
      </c>
      <c r="P17" s="52">
        <f t="shared" si="5"/>
        <v>1</v>
      </c>
    </row>
    <row r="18" spans="2:16" x14ac:dyDescent="0.2">
      <c r="B18" s="139" t="s">
        <v>18</v>
      </c>
      <c r="C18" s="140"/>
      <c r="D18" s="27"/>
      <c r="E18" s="39"/>
      <c r="F18" s="38"/>
      <c r="G18" s="39"/>
      <c r="H18" s="38"/>
      <c r="I18" s="39"/>
      <c r="J18" s="38"/>
      <c r="K18" s="38"/>
      <c r="L18" s="39"/>
      <c r="M18" s="38"/>
      <c r="N18" s="38"/>
      <c r="O18" s="39"/>
      <c r="P18" s="38"/>
    </row>
    <row r="19" spans="2:16" x14ac:dyDescent="0.2">
      <c r="B19" s="148" t="s">
        <v>19</v>
      </c>
      <c r="C19" s="130" t="s">
        <v>46</v>
      </c>
      <c r="D19" s="13" t="s">
        <v>47</v>
      </c>
      <c r="E19" s="47">
        <f>'Kirkwood 258'!E25+'Pine Grove 296'!E19+'Pioneer 295'!E19+'West Point 293'!E22</f>
        <v>9595</v>
      </c>
      <c r="F19" s="47">
        <f>'Kirkwood 258'!F25+'Pine Grove 296'!F19+'Pioneer 295'!F19+'West Point 293'!F22</f>
        <v>9568</v>
      </c>
      <c r="G19" s="78">
        <f>'Kirkwood 258'!G25+'Pine Grove 296'!G19+'Pioneer 295'!G19+'West Point 293'!G22</f>
        <v>9561</v>
      </c>
      <c r="H19" s="47">
        <f>'Kirkwood 258'!H25+'Pine Grove 296'!H19+'Pioneer 295'!H19+'West Point 293'!H22</f>
        <v>9566</v>
      </c>
      <c r="I19" s="86">
        <f>'Kirkwood 258'!I25+'Pine Grove 296'!I19+'Pioneer 295'!I19+'West Point 293'!I22</f>
        <v>9554</v>
      </c>
      <c r="J19" s="47">
        <f>'Kirkwood 258'!J25+'Pine Grove 296'!J19+'Pioneer 295'!J19+'West Point 293'!J22</f>
        <v>9572</v>
      </c>
      <c r="K19" s="47">
        <f>'Kirkwood 258'!K25+'Pine Grove 296'!K19+'Pioneer 295'!K19+'West Point 293'!K22</f>
        <v>9588</v>
      </c>
      <c r="L19" s="86">
        <f>'Kirkwood 258'!L25+'Pine Grove 296'!L19+'Pioneer 295'!L19+'West Point 293'!L22</f>
        <v>9582</v>
      </c>
      <c r="M19" s="47">
        <f>'Kirkwood 258'!M25+'Pine Grove 296'!M19+'Pioneer 295'!M19+'West Point 293'!M22</f>
        <v>9597</v>
      </c>
      <c r="N19" s="48">
        <f>'Kirkwood 258'!N25+'Pine Grove 296'!N19+'Pioneer 295'!N19+'West Point 293'!N22</f>
        <v>9565</v>
      </c>
      <c r="O19" s="67">
        <f>'Kirkwood 258'!O25+'Pine Grove 296'!O19+'Pioneer 295'!O19+'West Point 293'!O22</f>
        <v>9544</v>
      </c>
      <c r="P19" s="48">
        <f>'Kirkwood 258'!P25+'Pine Grove 296'!P19+'Pioneer 295'!P19+'West Point 293'!P22</f>
        <v>9576</v>
      </c>
    </row>
    <row r="20" spans="2:16" x14ac:dyDescent="0.2">
      <c r="B20" s="149"/>
      <c r="C20" s="131"/>
      <c r="D20" s="12" t="s">
        <v>48</v>
      </c>
      <c r="E20" s="47">
        <f>'Kirkwood 258'!E26+'Pine Grove 296'!E20+'Pioneer 295'!E20+'West Point 293'!E23</f>
        <v>20</v>
      </c>
      <c r="F20" s="47">
        <f>'Kirkwood 258'!F26+'Pine Grove 296'!F20+'Pioneer 295'!F20+'West Point 293'!F23</f>
        <v>27</v>
      </c>
      <c r="G20" s="78">
        <f>'Kirkwood 258'!G26+'Pine Grove 296'!G20+'Pioneer 295'!G20+'West Point 293'!G23</f>
        <v>22</v>
      </c>
      <c r="H20" s="47">
        <f>'Kirkwood 258'!H26+'Pine Grove 296'!H20+'Pioneer 295'!H20+'West Point 293'!H23</f>
        <v>20</v>
      </c>
      <c r="I20" s="86">
        <f>'Kirkwood 258'!I26+'Pine Grove 296'!I20+'Pioneer 295'!I20+'West Point 293'!I23</f>
        <v>20</v>
      </c>
      <c r="J20" s="47">
        <f>'Kirkwood 258'!J26+'Pine Grove 296'!J20+'Pioneer 295'!J20+'West Point 293'!J23</f>
        <v>26</v>
      </c>
      <c r="K20" s="47">
        <f>'Kirkwood 258'!K26+'Pine Grove 296'!K20+'Pioneer 295'!K20+'West Point 293'!K23</f>
        <v>16</v>
      </c>
      <c r="L20" s="86">
        <f>'Kirkwood 258'!L26+'Pine Grove 296'!L20+'Pioneer 295'!L20+'West Point 293'!L23</f>
        <v>23</v>
      </c>
      <c r="M20" s="47">
        <f>'Kirkwood 258'!M26+'Pine Grove 296'!M20+'Pioneer 295'!M20+'West Point 293'!M23</f>
        <v>9</v>
      </c>
      <c r="N20" s="48">
        <f>'Kirkwood 258'!N26+'Pine Grove 296'!N20+'Pioneer 295'!N20+'West Point 293'!N23</f>
        <v>77</v>
      </c>
      <c r="O20" s="67">
        <f>'Kirkwood 258'!O26+'Pine Grove 296'!O20+'Pioneer 295'!O20+'West Point 293'!O23</f>
        <v>30</v>
      </c>
      <c r="P20" s="48">
        <f>'Kirkwood 258'!P26+'Pine Grove 296'!P20+'Pioneer 295'!P20+'West Point 293'!P23</f>
        <v>46</v>
      </c>
    </row>
    <row r="21" spans="2:16" x14ac:dyDescent="0.2">
      <c r="B21" s="149"/>
      <c r="C21" s="132"/>
      <c r="D21" s="11" t="s">
        <v>40</v>
      </c>
      <c r="E21" s="54">
        <f t="shared" ref="E21:J21" si="6">E20/E19</f>
        <v>2.0844189682126106E-3</v>
      </c>
      <c r="F21" s="54">
        <f t="shared" si="6"/>
        <v>2.82190635451505E-3</v>
      </c>
      <c r="G21" s="81">
        <f t="shared" si="6"/>
        <v>2.3010145382282186E-3</v>
      </c>
      <c r="H21" s="54">
        <f t="shared" si="6"/>
        <v>2.0907380305247754E-3</v>
      </c>
      <c r="I21" s="89">
        <f t="shared" si="6"/>
        <v>2.0933640360058614E-3</v>
      </c>
      <c r="J21" s="54">
        <f t="shared" si="6"/>
        <v>2.7162557459256163E-3</v>
      </c>
      <c r="K21" s="54">
        <f t="shared" ref="K21:P21" si="7">K20/K19</f>
        <v>1.6687526074259491E-3</v>
      </c>
      <c r="L21" s="89">
        <f t="shared" si="7"/>
        <v>2.4003339595074099E-3</v>
      </c>
      <c r="M21" s="54">
        <f t="shared" si="7"/>
        <v>9.3779306033135354E-4</v>
      </c>
      <c r="N21" s="53">
        <f t="shared" si="7"/>
        <v>8.0501829587036073E-3</v>
      </c>
      <c r="O21" s="69">
        <f t="shared" si="7"/>
        <v>3.1433361274098908E-3</v>
      </c>
      <c r="P21" s="53">
        <f t="shared" si="7"/>
        <v>4.803675856307435E-3</v>
      </c>
    </row>
    <row r="22" spans="2:16" ht="12.75" customHeight="1" x14ac:dyDescent="0.2">
      <c r="B22" s="149"/>
      <c r="C22" s="112" t="s">
        <v>31</v>
      </c>
      <c r="D22" s="29" t="s">
        <v>47</v>
      </c>
      <c r="E22" s="45"/>
      <c r="F22" s="44"/>
      <c r="G22" s="45"/>
      <c r="H22" s="44"/>
      <c r="I22" s="45"/>
      <c r="J22" s="44"/>
      <c r="K22" s="44"/>
      <c r="L22" s="45"/>
      <c r="M22" s="44"/>
      <c r="N22" s="44"/>
      <c r="O22" s="45"/>
      <c r="P22" s="44"/>
    </row>
    <row r="23" spans="2:16" x14ac:dyDescent="0.2">
      <c r="B23" s="149"/>
      <c r="C23" s="113"/>
      <c r="D23" s="27" t="s">
        <v>48</v>
      </c>
      <c r="E23" s="39"/>
      <c r="F23" s="38"/>
      <c r="G23" s="39"/>
      <c r="H23" s="38"/>
      <c r="I23" s="39"/>
      <c r="J23" s="38"/>
      <c r="K23" s="38"/>
      <c r="L23" s="39"/>
      <c r="M23" s="38"/>
      <c r="N23" s="38"/>
      <c r="O23" s="39"/>
      <c r="P23" s="38"/>
    </row>
    <row r="24" spans="2:16" x14ac:dyDescent="0.2">
      <c r="B24" s="149"/>
      <c r="C24" s="114"/>
      <c r="D24" s="28" t="s">
        <v>40</v>
      </c>
      <c r="E24" s="41"/>
      <c r="F24" s="40"/>
      <c r="G24" s="41"/>
      <c r="H24" s="40"/>
      <c r="I24" s="41"/>
      <c r="J24" s="40"/>
      <c r="K24" s="40"/>
      <c r="L24" s="41"/>
      <c r="M24" s="40"/>
      <c r="N24" s="40"/>
      <c r="O24" s="41"/>
      <c r="P24" s="40"/>
    </row>
    <row r="25" spans="2:16" ht="12.75" customHeight="1" x14ac:dyDescent="0.2">
      <c r="B25" s="149"/>
      <c r="C25" s="112" t="s">
        <v>49</v>
      </c>
      <c r="D25" s="29" t="s">
        <v>47</v>
      </c>
      <c r="E25" s="45"/>
      <c r="F25" s="44"/>
      <c r="G25" s="45"/>
      <c r="H25" s="44"/>
      <c r="I25" s="45"/>
      <c r="J25" s="44"/>
      <c r="K25" s="44"/>
      <c r="L25" s="45"/>
      <c r="M25" s="44"/>
      <c r="N25" s="44"/>
      <c r="O25" s="45"/>
      <c r="P25" s="44"/>
    </row>
    <row r="26" spans="2:16" x14ac:dyDescent="0.2">
      <c r="B26" s="149"/>
      <c r="C26" s="113"/>
      <c r="D26" s="27" t="s">
        <v>48</v>
      </c>
      <c r="E26" s="39"/>
      <c r="F26" s="38"/>
      <c r="G26" s="39"/>
      <c r="H26" s="38"/>
      <c r="I26" s="39"/>
      <c r="J26" s="38"/>
      <c r="K26" s="38"/>
      <c r="L26" s="39"/>
      <c r="M26" s="38"/>
      <c r="N26" s="38"/>
      <c r="O26" s="39"/>
      <c r="P26" s="38"/>
    </row>
    <row r="27" spans="2:16" x14ac:dyDescent="0.2">
      <c r="B27" s="150"/>
      <c r="C27" s="114"/>
      <c r="D27" s="28" t="s">
        <v>40</v>
      </c>
      <c r="E27" s="41"/>
      <c r="F27" s="40"/>
      <c r="G27" s="41"/>
      <c r="H27" s="40"/>
      <c r="I27" s="41"/>
      <c r="J27" s="40"/>
      <c r="K27" s="40"/>
      <c r="L27" s="41"/>
      <c r="M27" s="40"/>
      <c r="N27" s="40"/>
      <c r="O27" s="41"/>
      <c r="P27" s="40"/>
    </row>
    <row r="28" spans="2:16" x14ac:dyDescent="0.2">
      <c r="B28" s="151" t="s">
        <v>50</v>
      </c>
      <c r="C28" s="134"/>
      <c r="D28" s="15" t="s">
        <v>51</v>
      </c>
      <c r="E28" s="47">
        <f>'Kirkwood 258'!E28+'Pine Grove 296'!E28+'Pioneer 295'!E28+'West Point 293'!E28</f>
        <v>7</v>
      </c>
      <c r="F28" s="47">
        <f>'Kirkwood 258'!F28+'Pine Grove 296'!F28+'Pioneer 295'!F28+'West Point 293'!F28</f>
        <v>52</v>
      </c>
      <c r="G28" s="78">
        <f>'Kirkwood 258'!G28+'Pine Grove 296'!G28+'Pioneer 295'!G28+'West Point 293'!G28</f>
        <v>17</v>
      </c>
      <c r="H28" s="47">
        <f>'Kirkwood 258'!H28+'Pine Grove 296'!H28+'Pioneer 295'!H28+'West Point 293'!H28</f>
        <v>13</v>
      </c>
      <c r="I28" s="86">
        <f>'Kirkwood 258'!I28+'Pine Grove 296'!I28+'Pioneer 295'!I28+'West Point 293'!I28</f>
        <v>12</v>
      </c>
      <c r="J28" s="47">
        <f>'Kirkwood 258'!J28+'Pine Grove 296'!J28+'Pioneer 295'!J28+'West Point 293'!J28</f>
        <v>23</v>
      </c>
      <c r="K28" s="47">
        <f>'Kirkwood 258'!K28+'Pine Grove 296'!K28+'Pioneer 295'!K28+'West Point 293'!K28</f>
        <v>17</v>
      </c>
      <c r="L28" s="86">
        <f>'Kirkwood 258'!L28+'Pine Grove 296'!L28+'Pioneer 295'!L28+'West Point 293'!L28</f>
        <v>19</v>
      </c>
      <c r="M28" s="47">
        <f>'Kirkwood 258'!M28+'Pine Grove 296'!M28+'Pioneer 295'!M28+'West Point 293'!M28</f>
        <v>17</v>
      </c>
      <c r="N28" s="48">
        <f>'Kirkwood 258'!N28+'Pine Grove 296'!N28+'Pioneer 295'!N28+'West Point 293'!N28</f>
        <v>265</v>
      </c>
      <c r="O28" s="67">
        <f>'Kirkwood 258'!O28+'Pine Grove 296'!O28+'Pioneer 295'!O28+'West Point 293'!O28</f>
        <v>36</v>
      </c>
      <c r="P28" s="48">
        <f>'Kirkwood 258'!P28+'Pine Grove 296'!P28+'Pioneer 295'!P28+'West Point 293'!P28</f>
        <v>38</v>
      </c>
    </row>
    <row r="29" spans="2:16" x14ac:dyDescent="0.2">
      <c r="B29" s="135"/>
      <c r="C29" s="136"/>
      <c r="D29" s="12" t="s">
        <v>52</v>
      </c>
      <c r="E29" s="47">
        <f>'Kirkwood 258'!E29+'Pine Grove 296'!E29+'Pioneer 295'!E29+'West Point 293'!E29</f>
        <v>6</v>
      </c>
      <c r="F29" s="47">
        <f>'Kirkwood 258'!F29+'Pine Grove 296'!F29+'Pioneer 295'!F29+'West Point 293'!F29</f>
        <v>42</v>
      </c>
      <c r="G29" s="78">
        <f>'Kirkwood 258'!G29+'Pine Grove 296'!G29+'Pioneer 295'!G29+'West Point 293'!G29</f>
        <v>17</v>
      </c>
      <c r="H29" s="47">
        <f>'Kirkwood 258'!H29+'Pine Grove 296'!H29+'Pioneer 295'!H29+'West Point 293'!H29</f>
        <v>16</v>
      </c>
      <c r="I29" s="86">
        <f>'Kirkwood 258'!I29+'Pine Grove 296'!I29+'Pioneer 295'!I29+'West Point 293'!I29</f>
        <v>12</v>
      </c>
      <c r="J29" s="47">
        <f>'Kirkwood 258'!J29+'Pine Grove 296'!J29+'Pioneer 295'!J29+'West Point 293'!J29</f>
        <v>20</v>
      </c>
      <c r="K29" s="47">
        <f>'Kirkwood 258'!K29+'Pine Grove 296'!K29+'Pioneer 295'!K29+'West Point 293'!K29</f>
        <v>17</v>
      </c>
      <c r="L29" s="86">
        <f>'Kirkwood 258'!L29+'Pine Grove 296'!L29+'Pioneer 295'!L29+'West Point 293'!L29</f>
        <v>17</v>
      </c>
      <c r="M29" s="47">
        <f>'Kirkwood 258'!M29+'Pine Grove 296'!M29+'Pioneer 295'!M29+'West Point 293'!M29</f>
        <v>14</v>
      </c>
      <c r="N29" s="48">
        <f>'Kirkwood 258'!N29+'Pine Grove 296'!N29+'Pioneer 295'!N29+'West Point 293'!N29</f>
        <v>195</v>
      </c>
      <c r="O29" s="67">
        <f>'Kirkwood 258'!O29+'Pine Grove 296'!O29+'Pioneer 295'!O29+'West Point 293'!O29</f>
        <v>23</v>
      </c>
      <c r="P29" s="48">
        <f>'Kirkwood 258'!P29+'Pine Grove 296'!P29+'Pioneer 295'!P29+'West Point 293'!P29</f>
        <v>30</v>
      </c>
    </row>
    <row r="30" spans="2:16" x14ac:dyDescent="0.2">
      <c r="B30" s="135"/>
      <c r="C30" s="136"/>
      <c r="D30" s="16" t="s">
        <v>53</v>
      </c>
      <c r="E30" s="54">
        <f t="shared" ref="E30:J30" si="8">E29/E28</f>
        <v>0.8571428571428571</v>
      </c>
      <c r="F30" s="54">
        <f t="shared" si="8"/>
        <v>0.80769230769230771</v>
      </c>
      <c r="G30" s="81">
        <f t="shared" si="8"/>
        <v>1</v>
      </c>
      <c r="H30" s="54">
        <f t="shared" si="8"/>
        <v>1.2307692307692308</v>
      </c>
      <c r="I30" s="89">
        <f t="shared" si="8"/>
        <v>1</v>
      </c>
      <c r="J30" s="54">
        <f t="shared" si="8"/>
        <v>0.86956521739130432</v>
      </c>
      <c r="K30" s="54">
        <f t="shared" ref="K30:P30" si="9">K29/K28</f>
        <v>1</v>
      </c>
      <c r="L30" s="89">
        <f t="shared" si="9"/>
        <v>0.89473684210526316</v>
      </c>
      <c r="M30" s="54">
        <f t="shared" si="9"/>
        <v>0.82352941176470584</v>
      </c>
      <c r="N30" s="53">
        <f t="shared" si="9"/>
        <v>0.73584905660377353</v>
      </c>
      <c r="O30" s="69">
        <f t="shared" si="9"/>
        <v>0.63888888888888884</v>
      </c>
      <c r="P30" s="53">
        <f t="shared" si="9"/>
        <v>0.78947368421052633</v>
      </c>
    </row>
    <row r="31" spans="2:16" x14ac:dyDescent="0.2">
      <c r="B31" s="135"/>
      <c r="C31" s="136"/>
      <c r="D31" s="12" t="s">
        <v>41</v>
      </c>
      <c r="E31" s="58">
        <f>'Kirkwood 258'!E31+'Pine Grove 296'!E31+'Pioneer 295'!E31+'West Point 293'!E31</f>
        <v>47.46</v>
      </c>
      <c r="F31" s="58">
        <f>'Kirkwood 258'!F31+'Pine Grove 296'!F31+'Pioneer 295'!F31+'West Point 293'!F31</f>
        <v>592.47</v>
      </c>
      <c r="G31" s="82">
        <f>'Kirkwood 258'!G31+'Pine Grove 296'!G31+'Pioneer 295'!G31+'West Point 293'!G31</f>
        <v>143.11000000000001</v>
      </c>
      <c r="H31" s="58">
        <f>'Kirkwood 258'!H31+'Pine Grove 296'!H31+'Pioneer 295'!H31+'West Point 293'!H31</f>
        <v>81.179999999999993</v>
      </c>
      <c r="I31" s="90">
        <f>'Kirkwood 258'!I31+'Pine Grove 296'!I31+'Pioneer 295'!I31+'West Point 293'!I31</f>
        <v>97.43</v>
      </c>
      <c r="J31" s="58">
        <f>'Kirkwood 258'!J31+'Pine Grove 296'!J31+'Pioneer 295'!J31+'West Point 293'!J31</f>
        <v>200.34000000000003</v>
      </c>
      <c r="K31" s="58">
        <f>'Kirkwood 258'!K31+'Pine Grove 296'!K31+'Pioneer 295'!K31+'West Point 293'!K31</f>
        <v>97.63</v>
      </c>
      <c r="L31" s="90">
        <f>'Kirkwood 258'!L31+'Pine Grove 296'!L31+'Pioneer 295'!L31+'West Point 293'!L31</f>
        <v>242.73999999999998</v>
      </c>
      <c r="M31" s="58">
        <f>'Kirkwood 258'!M31+'Pine Grove 296'!M31+'Pioneer 295'!M31+'West Point 293'!M31</f>
        <v>1166.83</v>
      </c>
      <c r="N31" s="57">
        <f>'Kirkwood 258'!N31+'Pine Grove 296'!N31+'Pioneer 295'!N31+'West Point 293'!N31</f>
        <v>8658.16</v>
      </c>
      <c r="O31" s="70">
        <f>'Kirkwood 258'!O31+'Pine Grove 296'!O31+'Pioneer 295'!O31+'West Point 293'!O31</f>
        <v>719.01</v>
      </c>
      <c r="P31" s="57">
        <f>'Kirkwood 258'!P31+'Pine Grove 296'!P31+'Pioneer 295'!P31+'West Point 293'!P31</f>
        <v>592.67000000000007</v>
      </c>
    </row>
    <row r="32" spans="2:16" x14ac:dyDescent="0.2">
      <c r="B32" s="137"/>
      <c r="C32" s="138"/>
      <c r="D32" s="11" t="s">
        <v>42</v>
      </c>
      <c r="E32" s="91">
        <f t="shared" ref="E32:M32" si="10">E31/E28</f>
        <v>6.78</v>
      </c>
      <c r="F32" s="91">
        <f t="shared" si="10"/>
        <v>11.393653846153846</v>
      </c>
      <c r="G32" s="91">
        <f t="shared" si="10"/>
        <v>8.4182352941176486</v>
      </c>
      <c r="H32" s="91">
        <f t="shared" si="10"/>
        <v>6.2446153846153845</v>
      </c>
      <c r="I32" s="91">
        <f t="shared" si="10"/>
        <v>8.1191666666666666</v>
      </c>
      <c r="J32" s="91">
        <f t="shared" si="10"/>
        <v>8.7104347826086972</v>
      </c>
      <c r="K32" s="91">
        <f t="shared" si="10"/>
        <v>5.7429411764705875</v>
      </c>
      <c r="L32" s="91">
        <f t="shared" si="10"/>
        <v>12.77578947368421</v>
      </c>
      <c r="M32" s="91">
        <f t="shared" si="10"/>
        <v>68.637058823529401</v>
      </c>
      <c r="N32" s="73">
        <f>N31/N28</f>
        <v>32.672301886792454</v>
      </c>
      <c r="O32" s="73">
        <f>O31/O28</f>
        <v>19.9725</v>
      </c>
      <c r="P32" s="73">
        <f>P31/P28</f>
        <v>15.596578947368423</v>
      </c>
    </row>
    <row r="33" spans="2:16" x14ac:dyDescent="0.2">
      <c r="M33" s="10"/>
      <c r="N33" s="10"/>
      <c r="O33" s="10"/>
      <c r="P33" s="10"/>
    </row>
    <row r="34" spans="2:16" s="3" customFormat="1" x14ac:dyDescent="0.2">
      <c r="B34" s="141" t="s">
        <v>20</v>
      </c>
      <c r="C34" s="142"/>
      <c r="D34" s="142"/>
      <c r="E34" s="142"/>
      <c r="F34" s="142"/>
      <c r="G34" s="142"/>
      <c r="H34" s="143"/>
      <c r="I34" s="122" t="s">
        <v>1</v>
      </c>
      <c r="J34" s="123"/>
      <c r="K34" s="122" t="s">
        <v>2</v>
      </c>
      <c r="L34" s="123"/>
      <c r="M34" s="122" t="s">
        <v>3</v>
      </c>
      <c r="N34" s="123"/>
      <c r="O34" s="98" t="s">
        <v>4</v>
      </c>
      <c r="P34" s="99"/>
    </row>
    <row r="35" spans="2:16" ht="12.75" customHeight="1" x14ac:dyDescent="0.2">
      <c r="B35" s="159" t="s">
        <v>54</v>
      </c>
      <c r="C35" s="160"/>
      <c r="D35" s="160"/>
      <c r="E35" s="144" t="s">
        <v>55</v>
      </c>
      <c r="F35" s="144"/>
      <c r="G35" s="144"/>
      <c r="H35" s="144"/>
      <c r="I35" s="95">
        <v>5423</v>
      </c>
      <c r="J35" s="97"/>
      <c r="K35" s="95">
        <v>5915</v>
      </c>
      <c r="L35" s="97"/>
      <c r="M35" s="95">
        <v>9062</v>
      </c>
      <c r="N35" s="97"/>
      <c r="O35" s="95">
        <v>5965</v>
      </c>
      <c r="P35" s="96"/>
    </row>
    <row r="36" spans="2:16" x14ac:dyDescent="0.2">
      <c r="B36" s="160"/>
      <c r="C36" s="160"/>
      <c r="D36" s="160"/>
      <c r="E36" s="144" t="s">
        <v>21</v>
      </c>
      <c r="F36" s="144"/>
      <c r="G36" s="144"/>
      <c r="H36" s="144"/>
      <c r="I36" s="95">
        <v>292842</v>
      </c>
      <c r="J36" s="97"/>
      <c r="K36" s="95">
        <v>319410</v>
      </c>
      <c r="L36" s="97"/>
      <c r="M36" s="95">
        <v>489348</v>
      </c>
      <c r="N36" s="97"/>
      <c r="O36" s="95">
        <v>322110</v>
      </c>
      <c r="P36" s="96"/>
    </row>
    <row r="37" spans="2:16" x14ac:dyDescent="0.2">
      <c r="B37" s="160"/>
      <c r="C37" s="160"/>
      <c r="D37" s="160"/>
      <c r="E37" s="144" t="s">
        <v>56</v>
      </c>
      <c r="F37" s="144"/>
      <c r="G37" s="144"/>
      <c r="H37" s="144"/>
      <c r="I37" s="95">
        <v>91</v>
      </c>
      <c r="J37" s="97"/>
      <c r="K37" s="95">
        <v>91</v>
      </c>
      <c r="L37" s="97"/>
      <c r="M37" s="95">
        <v>86</v>
      </c>
      <c r="N37" s="97"/>
      <c r="O37" s="95">
        <v>92</v>
      </c>
      <c r="P37" s="96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93" t="s">
        <v>22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69</v>
      </c>
      <c r="G43" s="6" t="s">
        <v>34</v>
      </c>
      <c r="H43" s="115" t="s">
        <v>70</v>
      </c>
      <c r="I43" s="115"/>
      <c r="J43" s="115"/>
      <c r="L43" s="6" t="s">
        <v>35</v>
      </c>
      <c r="M43" s="116" t="s">
        <v>71</v>
      </c>
      <c r="N43" s="115"/>
      <c r="O43" s="115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</row>
    <row r="48" spans="2:16" ht="13.5" thickBot="1" x14ac:dyDescent="0.25">
      <c r="B48" s="7" t="s">
        <v>25</v>
      </c>
      <c r="H48" s="6" t="s">
        <v>84</v>
      </c>
      <c r="I48" s="65"/>
      <c r="J48" s="65"/>
      <c r="K48" s="65"/>
      <c r="L48" s="65"/>
      <c r="M48" s="65"/>
      <c r="N48" s="65"/>
    </row>
    <row r="49" spans="2:9" x14ac:dyDescent="0.2">
      <c r="B49" s="7" t="s">
        <v>57</v>
      </c>
      <c r="I49" s="2" t="s">
        <v>85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3:J43"/>
    <mergeCell ref="M43:O43"/>
    <mergeCell ref="K36:L36"/>
    <mergeCell ref="I37:J37"/>
    <mergeCell ref="K37:L37"/>
    <mergeCell ref="O35:P35"/>
    <mergeCell ref="C40:P40"/>
    <mergeCell ref="O36:P36"/>
    <mergeCell ref="O37:P37"/>
    <mergeCell ref="M36:N36"/>
    <mergeCell ref="M37:N37"/>
    <mergeCell ref="O34:P34"/>
  </mergeCells>
  <phoneticPr fontId="2" type="noConversion"/>
  <hyperlinks>
    <hyperlink ref="M43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/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20" t="s">
        <v>23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2:16" s="3" customFormat="1" ht="13.5" thickBot="1" x14ac:dyDescent="0.25">
      <c r="B2" s="3" t="s">
        <v>36</v>
      </c>
      <c r="D2" s="145" t="s">
        <v>58</v>
      </c>
      <c r="E2" s="145"/>
      <c r="I2" s="4" t="s">
        <v>32</v>
      </c>
      <c r="J2" s="9">
        <v>1019</v>
      </c>
      <c r="M2" s="3" t="s">
        <v>37</v>
      </c>
      <c r="N2" s="6"/>
      <c r="O2" s="9">
        <f>'Total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2" t="s">
        <v>0</v>
      </c>
      <c r="C7" s="153"/>
      <c r="D7" s="154"/>
      <c r="E7" s="161" t="s">
        <v>65</v>
      </c>
      <c r="F7" s="106"/>
      <c r="G7" s="106"/>
      <c r="H7" s="161" t="s">
        <v>66</v>
      </c>
      <c r="I7" s="106"/>
      <c r="J7" s="146"/>
      <c r="K7" s="101" t="s">
        <v>67</v>
      </c>
      <c r="L7" s="106"/>
      <c r="M7" s="106"/>
      <c r="N7" s="162" t="s">
        <v>68</v>
      </c>
      <c r="O7" s="125"/>
      <c r="P7" s="126"/>
    </row>
    <row r="8" spans="2:16" s="2" customFormat="1" ht="12.75" customHeight="1" x14ac:dyDescent="0.2">
      <c r="B8" s="155"/>
      <c r="C8" s="156"/>
      <c r="D8" s="157"/>
      <c r="E8" s="107"/>
      <c r="F8" s="108"/>
      <c r="G8" s="108"/>
      <c r="H8" s="107"/>
      <c r="I8" s="108"/>
      <c r="J8" s="147"/>
      <c r="K8" s="108"/>
      <c r="L8" s="108"/>
      <c r="M8" s="108"/>
      <c r="N8" s="127"/>
      <c r="O8" s="128"/>
      <c r="P8" s="129"/>
    </row>
    <row r="9" spans="2:16" ht="12.75" customHeight="1" x14ac:dyDescent="0.2">
      <c r="B9" s="155"/>
      <c r="C9" s="156"/>
      <c r="D9" s="157"/>
      <c r="E9" s="117" t="s">
        <v>1</v>
      </c>
      <c r="F9" s="118"/>
      <c r="G9" s="119"/>
      <c r="H9" s="117" t="s">
        <v>2</v>
      </c>
      <c r="I9" s="118"/>
      <c r="J9" s="119"/>
      <c r="K9" s="117" t="s">
        <v>3</v>
      </c>
      <c r="L9" s="118"/>
      <c r="M9" s="119"/>
      <c r="N9" s="109" t="s">
        <v>4</v>
      </c>
      <c r="O9" s="110"/>
      <c r="P9" s="111"/>
    </row>
    <row r="10" spans="2:16" s="10" customFormat="1" ht="12.75" customHeight="1" x14ac:dyDescent="0.2">
      <c r="B10" s="137"/>
      <c r="C10" s="158"/>
      <c r="D10" s="138"/>
      <c r="E10" s="25" t="s">
        <v>5</v>
      </c>
      <c r="F10" s="25" t="s">
        <v>6</v>
      </c>
      <c r="G10" s="26" t="s">
        <v>7</v>
      </c>
      <c r="H10" s="25" t="s">
        <v>8</v>
      </c>
      <c r="I10" s="26" t="s">
        <v>9</v>
      </c>
      <c r="J10" s="25" t="s">
        <v>10</v>
      </c>
      <c r="K10" s="26" t="s">
        <v>11</v>
      </c>
      <c r="L10" s="25" t="s">
        <v>12</v>
      </c>
      <c r="M10" s="26" t="s">
        <v>13</v>
      </c>
      <c r="N10" s="23" t="s">
        <v>14</v>
      </c>
      <c r="O10" s="24" t="s">
        <v>15</v>
      </c>
      <c r="P10" s="23" t="s">
        <v>16</v>
      </c>
    </row>
    <row r="11" spans="2:16" ht="12.75" customHeight="1" x14ac:dyDescent="0.2">
      <c r="B11" s="133" t="s">
        <v>43</v>
      </c>
      <c r="C11" s="134"/>
      <c r="D11" s="11" t="s">
        <v>26</v>
      </c>
      <c r="E11" s="74">
        <v>1</v>
      </c>
      <c r="F11" s="38">
        <v>1</v>
      </c>
      <c r="G11" s="39">
        <v>1</v>
      </c>
      <c r="H11" s="38">
        <v>1</v>
      </c>
      <c r="I11" s="39">
        <v>0</v>
      </c>
      <c r="J11" s="38">
        <v>3</v>
      </c>
      <c r="K11" s="39">
        <v>12</v>
      </c>
      <c r="L11" s="38">
        <v>4</v>
      </c>
      <c r="M11" s="39">
        <v>3</v>
      </c>
      <c r="N11" s="36">
        <v>8</v>
      </c>
      <c r="O11" s="37">
        <v>3</v>
      </c>
      <c r="P11" s="36">
        <v>6</v>
      </c>
    </row>
    <row r="12" spans="2:16" x14ac:dyDescent="0.2">
      <c r="B12" s="135"/>
      <c r="C12" s="136"/>
      <c r="D12" s="12" t="s">
        <v>27</v>
      </c>
      <c r="E12" s="39">
        <v>1</v>
      </c>
      <c r="F12" s="38">
        <v>1</v>
      </c>
      <c r="G12" s="39">
        <v>1</v>
      </c>
      <c r="H12" s="38">
        <v>1</v>
      </c>
      <c r="I12" s="39">
        <v>0</v>
      </c>
      <c r="J12" s="38">
        <v>3</v>
      </c>
      <c r="K12" s="39">
        <v>4</v>
      </c>
      <c r="L12" s="38">
        <v>2</v>
      </c>
      <c r="M12" s="39">
        <v>2</v>
      </c>
      <c r="N12" s="36">
        <v>5</v>
      </c>
      <c r="O12" s="37">
        <v>2</v>
      </c>
      <c r="P12" s="36">
        <v>6</v>
      </c>
    </row>
    <row r="13" spans="2:16" x14ac:dyDescent="0.2">
      <c r="B13" s="137"/>
      <c r="C13" s="138"/>
      <c r="D13" s="11" t="s">
        <v>28</v>
      </c>
      <c r="E13" s="47">
        <f t="shared" ref="E13:P13" si="0">+E11/E12</f>
        <v>1</v>
      </c>
      <c r="F13" s="47">
        <f t="shared" si="0"/>
        <v>1</v>
      </c>
      <c r="G13" s="47">
        <f t="shared" si="0"/>
        <v>1</v>
      </c>
      <c r="H13" s="47">
        <f t="shared" si="0"/>
        <v>1</v>
      </c>
      <c r="I13" s="47">
        <v>0</v>
      </c>
      <c r="J13" s="47">
        <f t="shared" si="0"/>
        <v>1</v>
      </c>
      <c r="K13" s="47">
        <f t="shared" si="0"/>
        <v>3</v>
      </c>
      <c r="L13" s="47">
        <f t="shared" si="0"/>
        <v>2</v>
      </c>
      <c r="M13" s="47">
        <f t="shared" si="0"/>
        <v>1.5</v>
      </c>
      <c r="N13" s="48">
        <f t="shared" si="0"/>
        <v>1.6</v>
      </c>
      <c r="O13" s="48">
        <f t="shared" si="0"/>
        <v>1.5</v>
      </c>
      <c r="P13" s="48">
        <f t="shared" si="0"/>
        <v>1</v>
      </c>
    </row>
    <row r="14" spans="2:16" ht="12.75" customHeight="1" x14ac:dyDescent="0.2">
      <c r="B14" s="133" t="s">
        <v>44</v>
      </c>
      <c r="C14" s="134"/>
      <c r="D14" s="13" t="s">
        <v>45</v>
      </c>
      <c r="E14" s="45">
        <v>16</v>
      </c>
      <c r="F14" s="44">
        <v>9</v>
      </c>
      <c r="G14" s="45">
        <v>206</v>
      </c>
      <c r="H14" s="44">
        <f>36+4+2</f>
        <v>42</v>
      </c>
      <c r="I14" s="45">
        <f>52+3</f>
        <v>55</v>
      </c>
      <c r="J14" s="44">
        <f>43+7+2</f>
        <v>52</v>
      </c>
      <c r="K14" s="38">
        <f>20+5+1</f>
        <v>26</v>
      </c>
      <c r="L14" s="38">
        <f>11+2+2</f>
        <v>15</v>
      </c>
      <c r="M14" s="38">
        <f>30+4</f>
        <v>34</v>
      </c>
      <c r="N14" s="43">
        <f>63+5</f>
        <v>68</v>
      </c>
      <c r="O14" s="42">
        <f>30+3+6</f>
        <v>39</v>
      </c>
      <c r="P14" s="43">
        <f>16+8+3</f>
        <v>27</v>
      </c>
    </row>
    <row r="15" spans="2:16" ht="15" customHeight="1" x14ac:dyDescent="0.2">
      <c r="B15" s="135"/>
      <c r="C15" s="136"/>
      <c r="D15" s="14" t="s">
        <v>29</v>
      </c>
      <c r="E15" s="39">
        <v>16</v>
      </c>
      <c r="F15" s="38">
        <v>9</v>
      </c>
      <c r="G15" s="39">
        <v>206</v>
      </c>
      <c r="H15" s="44">
        <f>36+4+2</f>
        <v>42</v>
      </c>
      <c r="I15" s="45">
        <f>52+3</f>
        <v>55</v>
      </c>
      <c r="J15" s="44">
        <f>43+7+2</f>
        <v>52</v>
      </c>
      <c r="K15" s="38">
        <f>20+5+1</f>
        <v>26</v>
      </c>
      <c r="L15" s="38">
        <f>11+2+2</f>
        <v>15</v>
      </c>
      <c r="M15" s="38">
        <f>30+4</f>
        <v>34</v>
      </c>
      <c r="N15" s="36">
        <f>63+5</f>
        <v>68</v>
      </c>
      <c r="O15" s="37">
        <v>39</v>
      </c>
      <c r="P15" s="36">
        <v>27</v>
      </c>
    </row>
    <row r="16" spans="2:16" ht="13.5" customHeight="1" x14ac:dyDescent="0.2">
      <c r="B16" s="135"/>
      <c r="C16" s="136"/>
      <c r="D16" s="14" t="s">
        <v>30</v>
      </c>
      <c r="E16" s="38">
        <f t="shared" ref="E16:J16" si="1">E14-E15</f>
        <v>0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38">
        <f t="shared" si="1"/>
        <v>0</v>
      </c>
      <c r="J16" s="38">
        <f t="shared" si="1"/>
        <v>0</v>
      </c>
      <c r="K16" s="38">
        <v>0</v>
      </c>
      <c r="L16" s="38">
        <v>0</v>
      </c>
      <c r="M16" s="38">
        <v>0</v>
      </c>
      <c r="N16" s="66">
        <v>0</v>
      </c>
      <c r="O16" s="66">
        <v>0</v>
      </c>
      <c r="P16" s="66">
        <v>0</v>
      </c>
    </row>
    <row r="17" spans="2:16" x14ac:dyDescent="0.2">
      <c r="B17" s="137"/>
      <c r="C17" s="138"/>
      <c r="D17" s="11" t="s">
        <v>17</v>
      </c>
      <c r="E17" s="75">
        <f t="shared" ref="E17:P17" si="2">E15/E14</f>
        <v>1</v>
      </c>
      <c r="F17" s="75">
        <f t="shared" si="2"/>
        <v>1</v>
      </c>
      <c r="G17" s="75">
        <f t="shared" si="2"/>
        <v>1</v>
      </c>
      <c r="H17" s="75">
        <f t="shared" si="2"/>
        <v>1</v>
      </c>
      <c r="I17" s="75">
        <f t="shared" si="2"/>
        <v>1</v>
      </c>
      <c r="J17" s="75">
        <f t="shared" si="2"/>
        <v>1</v>
      </c>
      <c r="K17" s="75">
        <f t="shared" si="2"/>
        <v>1</v>
      </c>
      <c r="L17" s="75">
        <f t="shared" si="2"/>
        <v>1</v>
      </c>
      <c r="M17" s="75">
        <f t="shared" si="2"/>
        <v>1</v>
      </c>
      <c r="N17" s="52">
        <f t="shared" si="2"/>
        <v>1</v>
      </c>
      <c r="O17" s="52">
        <f t="shared" si="2"/>
        <v>1</v>
      </c>
      <c r="P17" s="52">
        <f t="shared" si="2"/>
        <v>1</v>
      </c>
    </row>
    <row r="18" spans="2:16" x14ac:dyDescent="0.2">
      <c r="B18" s="139" t="s">
        <v>18</v>
      </c>
      <c r="C18" s="140"/>
      <c r="D18" s="27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</row>
    <row r="19" spans="2:16" x14ac:dyDescent="0.2">
      <c r="B19" s="148" t="s">
        <v>19</v>
      </c>
      <c r="C19" s="112" t="s">
        <v>46</v>
      </c>
      <c r="D19" s="29" t="s">
        <v>47</v>
      </c>
      <c r="E19" s="45"/>
      <c r="F19" s="44"/>
      <c r="G19" s="45"/>
      <c r="H19" s="44"/>
      <c r="I19" s="45"/>
      <c r="J19" s="44"/>
      <c r="K19" s="45"/>
      <c r="L19" s="44"/>
      <c r="M19" s="45"/>
      <c r="N19" s="44"/>
      <c r="O19" s="45"/>
      <c r="P19" s="44"/>
    </row>
    <row r="20" spans="2:16" x14ac:dyDescent="0.2">
      <c r="B20" s="149"/>
      <c r="C20" s="113"/>
      <c r="D20" s="27" t="s">
        <v>48</v>
      </c>
      <c r="E20" s="39"/>
      <c r="F20" s="38"/>
      <c r="G20" s="39"/>
      <c r="H20" s="38"/>
      <c r="I20" s="39"/>
      <c r="J20" s="38"/>
      <c r="K20" s="39"/>
      <c r="L20" s="38"/>
      <c r="M20" s="39"/>
      <c r="N20" s="38"/>
      <c r="O20" s="39"/>
      <c r="P20" s="38"/>
    </row>
    <row r="21" spans="2:16" x14ac:dyDescent="0.2">
      <c r="B21" s="149"/>
      <c r="C21" s="114"/>
      <c r="D21" s="28" t="s">
        <v>40</v>
      </c>
      <c r="E21" s="41"/>
      <c r="F21" s="40"/>
      <c r="G21" s="41"/>
      <c r="H21" s="40"/>
      <c r="I21" s="41"/>
      <c r="J21" s="40"/>
      <c r="K21" s="41"/>
      <c r="L21" s="40"/>
      <c r="M21" s="41"/>
      <c r="N21" s="40"/>
      <c r="O21" s="41"/>
      <c r="P21" s="40"/>
    </row>
    <row r="22" spans="2:16" ht="12.75" customHeight="1" x14ac:dyDescent="0.2">
      <c r="B22" s="149"/>
      <c r="C22" s="112" t="s">
        <v>31</v>
      </c>
      <c r="D22" s="29" t="s">
        <v>47</v>
      </c>
      <c r="E22" s="45"/>
      <c r="F22" s="44"/>
      <c r="G22" s="45"/>
      <c r="H22" s="44"/>
      <c r="I22" s="45"/>
      <c r="J22" s="44"/>
      <c r="K22" s="45"/>
      <c r="L22" s="44"/>
      <c r="M22" s="45"/>
      <c r="N22" s="44"/>
      <c r="O22" s="45"/>
      <c r="P22" s="44"/>
    </row>
    <row r="23" spans="2:16" x14ac:dyDescent="0.2">
      <c r="B23" s="149"/>
      <c r="C23" s="113"/>
      <c r="D23" s="27" t="s">
        <v>48</v>
      </c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</row>
    <row r="24" spans="2:16" x14ac:dyDescent="0.2">
      <c r="B24" s="149"/>
      <c r="C24" s="114"/>
      <c r="D24" s="28" t="s">
        <v>40</v>
      </c>
      <c r="E24" s="41"/>
      <c r="F24" s="40"/>
      <c r="G24" s="41"/>
      <c r="H24" s="40"/>
      <c r="I24" s="41"/>
      <c r="J24" s="40"/>
      <c r="K24" s="41"/>
      <c r="L24" s="40"/>
      <c r="M24" s="41"/>
      <c r="N24" s="40"/>
      <c r="O24" s="41"/>
      <c r="P24" s="40"/>
    </row>
    <row r="25" spans="2:16" ht="12.75" customHeight="1" x14ac:dyDescent="0.2">
      <c r="B25" s="149"/>
      <c r="C25" s="130" t="s">
        <v>49</v>
      </c>
      <c r="D25" s="13" t="s">
        <v>47</v>
      </c>
      <c r="E25" s="45">
        <v>711</v>
      </c>
      <c r="F25" s="44">
        <v>711</v>
      </c>
      <c r="G25" s="45">
        <v>708</v>
      </c>
      <c r="H25" s="44">
        <v>700</v>
      </c>
      <c r="I25" s="45">
        <v>698</v>
      </c>
      <c r="J25" s="44">
        <v>695</v>
      </c>
      <c r="K25" s="45">
        <v>699</v>
      </c>
      <c r="L25" s="44">
        <v>698</v>
      </c>
      <c r="M25" s="45">
        <v>698</v>
      </c>
      <c r="N25" s="43">
        <v>693</v>
      </c>
      <c r="O25" s="42">
        <v>695</v>
      </c>
      <c r="P25" s="43">
        <v>704</v>
      </c>
    </row>
    <row r="26" spans="2:16" x14ac:dyDescent="0.2">
      <c r="B26" s="149"/>
      <c r="C26" s="131"/>
      <c r="D26" s="12" t="s">
        <v>48</v>
      </c>
      <c r="E26" s="39">
        <v>0</v>
      </c>
      <c r="F26" s="38">
        <v>2</v>
      </c>
      <c r="G26" s="39">
        <v>0</v>
      </c>
      <c r="H26" s="38">
        <v>0</v>
      </c>
      <c r="I26" s="39">
        <v>1</v>
      </c>
      <c r="J26" s="38">
        <v>7</v>
      </c>
      <c r="K26" s="39">
        <v>2</v>
      </c>
      <c r="L26" s="38">
        <v>2</v>
      </c>
      <c r="M26" s="39">
        <v>1</v>
      </c>
      <c r="N26" s="36">
        <v>2</v>
      </c>
      <c r="O26" s="37">
        <v>1</v>
      </c>
      <c r="P26" s="36">
        <v>3</v>
      </c>
    </row>
    <row r="27" spans="2:16" x14ac:dyDescent="0.2">
      <c r="B27" s="150"/>
      <c r="C27" s="132"/>
      <c r="D27" s="11" t="s">
        <v>40</v>
      </c>
      <c r="E27" s="54">
        <f t="shared" ref="E27:P27" si="3">E26/E25</f>
        <v>0</v>
      </c>
      <c r="F27" s="54">
        <f t="shared" si="3"/>
        <v>2.8129395218002813E-3</v>
      </c>
      <c r="G27" s="54">
        <f t="shared" si="3"/>
        <v>0</v>
      </c>
      <c r="H27" s="54">
        <f t="shared" si="3"/>
        <v>0</v>
      </c>
      <c r="I27" s="54">
        <f t="shared" si="3"/>
        <v>1.4326647564469914E-3</v>
      </c>
      <c r="J27" s="54">
        <f t="shared" si="3"/>
        <v>1.0071942446043165E-2</v>
      </c>
      <c r="K27" s="54">
        <f t="shared" si="3"/>
        <v>2.8612303290414878E-3</v>
      </c>
      <c r="L27" s="54">
        <f t="shared" si="3"/>
        <v>2.8653295128939827E-3</v>
      </c>
      <c r="M27" s="54">
        <f t="shared" si="3"/>
        <v>1.4326647564469914E-3</v>
      </c>
      <c r="N27" s="53">
        <f t="shared" si="3"/>
        <v>2.886002886002886E-3</v>
      </c>
      <c r="O27" s="53">
        <f t="shared" si="3"/>
        <v>1.4388489208633094E-3</v>
      </c>
      <c r="P27" s="53">
        <f t="shared" si="3"/>
        <v>4.261363636363636E-3</v>
      </c>
    </row>
    <row r="28" spans="2:16" x14ac:dyDescent="0.2">
      <c r="B28" s="151" t="s">
        <v>50</v>
      </c>
      <c r="C28" s="134"/>
      <c r="D28" s="15" t="s">
        <v>51</v>
      </c>
      <c r="E28" s="38">
        <v>0</v>
      </c>
      <c r="F28" s="38">
        <v>1</v>
      </c>
      <c r="G28" s="38">
        <v>0</v>
      </c>
      <c r="H28" s="38">
        <v>0</v>
      </c>
      <c r="I28" s="38">
        <v>1</v>
      </c>
      <c r="J28" s="38">
        <v>13</v>
      </c>
      <c r="K28" s="38">
        <v>1</v>
      </c>
      <c r="L28" s="38">
        <v>0</v>
      </c>
      <c r="M28" s="38">
        <v>0</v>
      </c>
      <c r="N28" s="36">
        <v>1</v>
      </c>
      <c r="O28" s="36">
        <v>1</v>
      </c>
      <c r="P28" s="36">
        <v>3</v>
      </c>
    </row>
    <row r="29" spans="2:16" x14ac:dyDescent="0.2">
      <c r="B29" s="135"/>
      <c r="C29" s="136"/>
      <c r="D29" s="12" t="s">
        <v>52</v>
      </c>
      <c r="E29" s="38">
        <v>0</v>
      </c>
      <c r="F29" s="38">
        <v>1</v>
      </c>
      <c r="G29" s="38">
        <v>0</v>
      </c>
      <c r="H29" s="38">
        <v>0</v>
      </c>
      <c r="I29" s="38">
        <v>1</v>
      </c>
      <c r="J29" s="38">
        <v>11</v>
      </c>
      <c r="K29" s="38">
        <v>1</v>
      </c>
      <c r="L29" s="38">
        <v>0</v>
      </c>
      <c r="M29" s="38">
        <v>0</v>
      </c>
      <c r="N29" s="36">
        <v>0</v>
      </c>
      <c r="O29" s="36">
        <v>1</v>
      </c>
      <c r="P29" s="36">
        <v>1</v>
      </c>
    </row>
    <row r="30" spans="2:16" x14ac:dyDescent="0.2">
      <c r="B30" s="135"/>
      <c r="C30" s="136"/>
      <c r="D30" s="16" t="s">
        <v>53</v>
      </c>
      <c r="E30" s="54">
        <v>0</v>
      </c>
      <c r="F30" s="54">
        <f>F29/F28</f>
        <v>1</v>
      </c>
      <c r="G30" s="54">
        <v>0</v>
      </c>
      <c r="H30" s="54">
        <v>0</v>
      </c>
      <c r="I30" s="54">
        <f>I29/I28</f>
        <v>1</v>
      </c>
      <c r="J30" s="54">
        <f>J29/J28</f>
        <v>0.84615384615384615</v>
      </c>
      <c r="K30" s="54">
        <f>K29/K28</f>
        <v>1</v>
      </c>
      <c r="L30" s="54">
        <v>0</v>
      </c>
      <c r="M30" s="54">
        <v>0</v>
      </c>
      <c r="N30" s="53">
        <f>N29/N28</f>
        <v>0</v>
      </c>
      <c r="O30" s="53">
        <f>O29/O28</f>
        <v>1</v>
      </c>
      <c r="P30" s="53">
        <f>P29/P28</f>
        <v>0.33333333333333331</v>
      </c>
    </row>
    <row r="31" spans="2:16" x14ac:dyDescent="0.2">
      <c r="B31" s="135"/>
      <c r="C31" s="136"/>
      <c r="D31" s="12" t="s">
        <v>41</v>
      </c>
      <c r="E31" s="76" t="s">
        <v>72</v>
      </c>
      <c r="F31" s="76">
        <v>0.11</v>
      </c>
      <c r="G31" s="76" t="s">
        <v>72</v>
      </c>
      <c r="H31" s="76">
        <v>0</v>
      </c>
      <c r="I31" s="76">
        <v>1.69</v>
      </c>
      <c r="J31" s="76">
        <v>102.42</v>
      </c>
      <c r="K31" s="56">
        <v>1.46</v>
      </c>
      <c r="L31" s="56">
        <v>0</v>
      </c>
      <c r="M31" s="56">
        <v>0</v>
      </c>
      <c r="N31" s="55">
        <v>68.97</v>
      </c>
      <c r="O31" s="55">
        <v>7.0000000000000007E-2</v>
      </c>
      <c r="P31" s="55">
        <v>159.05000000000001</v>
      </c>
    </row>
    <row r="32" spans="2:16" x14ac:dyDescent="0.2">
      <c r="B32" s="137"/>
      <c r="C32" s="138"/>
      <c r="D32" s="11" t="s">
        <v>42</v>
      </c>
      <c r="E32" s="76" t="s">
        <v>72</v>
      </c>
      <c r="F32" s="76">
        <v>0.11</v>
      </c>
      <c r="G32" s="76" t="s">
        <v>72</v>
      </c>
      <c r="H32" s="76">
        <v>0</v>
      </c>
      <c r="I32" s="76">
        <v>1.69</v>
      </c>
      <c r="J32" s="76">
        <v>7.88</v>
      </c>
      <c r="K32" s="56">
        <v>1.46</v>
      </c>
      <c r="L32" s="56">
        <v>0</v>
      </c>
      <c r="M32" s="56">
        <v>0</v>
      </c>
      <c r="N32" s="55">
        <v>68.97</v>
      </c>
      <c r="O32" s="55">
        <v>7.0000000000000007E-2</v>
      </c>
      <c r="P32" s="55">
        <v>53.02</v>
      </c>
    </row>
    <row r="34" spans="2:16" s="3" customFormat="1" x14ac:dyDescent="0.2">
      <c r="B34" s="141" t="s">
        <v>20</v>
      </c>
      <c r="C34" s="142"/>
      <c r="D34" s="142"/>
      <c r="E34" s="142"/>
      <c r="F34" s="142"/>
      <c r="G34" s="142"/>
      <c r="H34" s="143"/>
      <c r="I34" s="163" t="s">
        <v>1</v>
      </c>
      <c r="J34" s="164"/>
      <c r="K34" s="163" t="s">
        <v>2</v>
      </c>
      <c r="L34" s="164"/>
      <c r="M34" s="163" t="s">
        <v>3</v>
      </c>
      <c r="N34" s="164"/>
      <c r="O34" s="163" t="s">
        <v>4</v>
      </c>
      <c r="P34" s="164"/>
    </row>
    <row r="35" spans="2:16" ht="12.75" customHeight="1" x14ac:dyDescent="0.2">
      <c r="B35" s="159" t="s">
        <v>54</v>
      </c>
      <c r="C35" s="160"/>
      <c r="D35" s="160"/>
      <c r="E35" s="144" t="s">
        <v>55</v>
      </c>
      <c r="F35" s="144"/>
      <c r="G35" s="144"/>
      <c r="H35" s="144"/>
      <c r="I35" s="165"/>
      <c r="J35" s="166"/>
      <c r="K35" s="165"/>
      <c r="L35" s="166"/>
      <c r="M35" s="165"/>
      <c r="N35" s="166"/>
      <c r="O35" s="165"/>
      <c r="P35" s="166"/>
    </row>
    <row r="36" spans="2:16" x14ac:dyDescent="0.2">
      <c r="B36" s="160"/>
      <c r="C36" s="160"/>
      <c r="D36" s="160"/>
      <c r="E36" s="144" t="s">
        <v>21</v>
      </c>
      <c r="F36" s="144"/>
      <c r="G36" s="144"/>
      <c r="H36" s="144"/>
      <c r="I36" s="165"/>
      <c r="J36" s="166"/>
      <c r="K36" s="165"/>
      <c r="L36" s="166"/>
      <c r="M36" s="165"/>
      <c r="N36" s="166"/>
      <c r="O36" s="165"/>
      <c r="P36" s="166"/>
    </row>
    <row r="37" spans="2:16" x14ac:dyDescent="0.2">
      <c r="B37" s="160"/>
      <c r="C37" s="160"/>
      <c r="D37" s="160"/>
      <c r="E37" s="144" t="s">
        <v>56</v>
      </c>
      <c r="F37" s="144"/>
      <c r="G37" s="144"/>
      <c r="H37" s="144"/>
      <c r="I37" s="165"/>
      <c r="J37" s="166"/>
      <c r="K37" s="165"/>
      <c r="L37" s="166"/>
      <c r="M37" s="165"/>
      <c r="N37" s="166"/>
      <c r="O37" s="165"/>
      <c r="P37" s="166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34" t="s">
        <v>64</v>
      </c>
      <c r="P38" s="17"/>
    </row>
    <row r="40" spans="2:16" x14ac:dyDescent="0.2">
      <c r="C40" s="93" t="s">
        <v>22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69</v>
      </c>
      <c r="G43" s="6" t="s">
        <v>34</v>
      </c>
      <c r="H43" s="115" t="s">
        <v>70</v>
      </c>
      <c r="I43" s="115"/>
      <c r="J43" s="115"/>
      <c r="L43" s="6" t="s">
        <v>35</v>
      </c>
      <c r="M43" s="116" t="s">
        <v>71</v>
      </c>
      <c r="N43" s="115"/>
      <c r="O43" s="115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tr">
        <f>'Total Company'!B47</f>
        <v>Date Adopted: 7/28/09</v>
      </c>
      <c r="D47" s="10"/>
      <c r="H47" s="83"/>
      <c r="I47" s="83"/>
      <c r="J47" s="83"/>
      <c r="K47" s="83"/>
      <c r="L47" s="83"/>
      <c r="M47" s="83"/>
      <c r="N47" s="83"/>
    </row>
    <row r="48" spans="2:16" x14ac:dyDescent="0.2">
      <c r="B48" s="7" t="str">
        <f>'Total Company'!B48</f>
        <v>Date Revised: 12/08/09 (Corrects typographical errors)</v>
      </c>
      <c r="H48" s="84"/>
      <c r="I48" s="83"/>
      <c r="J48" s="83"/>
      <c r="K48" s="83"/>
      <c r="L48" s="83"/>
      <c r="M48" s="83"/>
      <c r="N48" s="83"/>
    </row>
    <row r="49" spans="2:14" x14ac:dyDescent="0.2">
      <c r="B49" s="7" t="str">
        <f>'Total Company'!B49</f>
        <v>Date Revised: 05/04/10 (Added new lines and changed terms to reflect requirements of G.O.133-C)</v>
      </c>
      <c r="H49" s="83"/>
      <c r="I49" s="83"/>
      <c r="J49" s="83"/>
      <c r="K49" s="83"/>
      <c r="L49" s="83"/>
      <c r="M49" s="83"/>
      <c r="N49" s="83"/>
    </row>
  </sheetData>
  <mergeCells count="43"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3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/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20" t="s">
        <v>23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2:16" s="3" customFormat="1" ht="13.5" thickBot="1" x14ac:dyDescent="0.25">
      <c r="B2" s="3" t="s">
        <v>36</v>
      </c>
      <c r="D2" s="145" t="s">
        <v>58</v>
      </c>
      <c r="E2" s="145"/>
      <c r="I2" s="4" t="s">
        <v>32</v>
      </c>
      <c r="J2" s="9">
        <v>1019</v>
      </c>
      <c r="M2" s="3" t="s">
        <v>37</v>
      </c>
      <c r="N2" s="6"/>
      <c r="O2" s="9">
        <f>'Total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61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2" t="s">
        <v>0</v>
      </c>
      <c r="C7" s="153"/>
      <c r="D7" s="154"/>
      <c r="E7" s="161" t="s">
        <v>65</v>
      </c>
      <c r="F7" s="106"/>
      <c r="G7" s="106"/>
      <c r="H7" s="161" t="s">
        <v>66</v>
      </c>
      <c r="I7" s="106"/>
      <c r="J7" s="146"/>
      <c r="K7" s="101" t="s">
        <v>67</v>
      </c>
      <c r="L7" s="106"/>
      <c r="M7" s="106"/>
      <c r="N7" s="162" t="s">
        <v>68</v>
      </c>
      <c r="O7" s="125"/>
      <c r="P7" s="126"/>
    </row>
    <row r="8" spans="2:16" s="2" customFormat="1" ht="12.75" customHeight="1" x14ac:dyDescent="0.2">
      <c r="B8" s="155"/>
      <c r="C8" s="156"/>
      <c r="D8" s="157"/>
      <c r="E8" s="107"/>
      <c r="F8" s="108"/>
      <c r="G8" s="108"/>
      <c r="H8" s="107"/>
      <c r="I8" s="108"/>
      <c r="J8" s="147"/>
      <c r="K8" s="108"/>
      <c r="L8" s="108"/>
      <c r="M8" s="108"/>
      <c r="N8" s="127"/>
      <c r="O8" s="128"/>
      <c r="P8" s="129"/>
    </row>
    <row r="9" spans="2:16" ht="12.75" customHeight="1" x14ac:dyDescent="0.2">
      <c r="B9" s="155"/>
      <c r="C9" s="156"/>
      <c r="D9" s="157"/>
      <c r="E9" s="117" t="s">
        <v>1</v>
      </c>
      <c r="F9" s="118"/>
      <c r="G9" s="119"/>
      <c r="H9" s="117" t="s">
        <v>2</v>
      </c>
      <c r="I9" s="118"/>
      <c r="J9" s="119"/>
      <c r="K9" s="117" t="s">
        <v>3</v>
      </c>
      <c r="L9" s="118"/>
      <c r="M9" s="119"/>
      <c r="N9" s="109" t="s">
        <v>4</v>
      </c>
      <c r="O9" s="110"/>
      <c r="P9" s="111"/>
    </row>
    <row r="10" spans="2:16" s="10" customFormat="1" ht="12.75" customHeight="1" x14ac:dyDescent="0.2">
      <c r="B10" s="137"/>
      <c r="C10" s="158"/>
      <c r="D10" s="138"/>
      <c r="E10" s="25" t="s">
        <v>5</v>
      </c>
      <c r="F10" s="25" t="s">
        <v>6</v>
      </c>
      <c r="G10" s="26" t="s">
        <v>7</v>
      </c>
      <c r="H10" s="25" t="s">
        <v>8</v>
      </c>
      <c r="I10" s="26" t="s">
        <v>9</v>
      </c>
      <c r="J10" s="25" t="s">
        <v>10</v>
      </c>
      <c r="K10" s="26" t="s">
        <v>11</v>
      </c>
      <c r="L10" s="25" t="s">
        <v>12</v>
      </c>
      <c r="M10" s="26" t="s">
        <v>13</v>
      </c>
      <c r="N10" s="23" t="s">
        <v>14</v>
      </c>
      <c r="O10" s="24" t="s">
        <v>15</v>
      </c>
      <c r="P10" s="23" t="s">
        <v>16</v>
      </c>
    </row>
    <row r="11" spans="2:16" ht="12.75" customHeight="1" x14ac:dyDescent="0.2">
      <c r="B11" s="133" t="s">
        <v>43</v>
      </c>
      <c r="C11" s="134"/>
      <c r="D11" s="11" t="s">
        <v>26</v>
      </c>
      <c r="E11" s="74">
        <v>10</v>
      </c>
      <c r="F11" s="38">
        <v>16</v>
      </c>
      <c r="G11" s="39">
        <v>31</v>
      </c>
      <c r="H11" s="38">
        <v>24</v>
      </c>
      <c r="I11" s="38">
        <v>43</v>
      </c>
      <c r="J11" s="38">
        <v>36</v>
      </c>
      <c r="K11" s="38">
        <v>52</v>
      </c>
      <c r="L11" s="38">
        <v>16</v>
      </c>
      <c r="M11" s="38">
        <v>35</v>
      </c>
      <c r="N11" s="36">
        <v>58</v>
      </c>
      <c r="O11" s="36">
        <v>39</v>
      </c>
      <c r="P11" s="36">
        <v>13</v>
      </c>
    </row>
    <row r="12" spans="2:16" x14ac:dyDescent="0.2">
      <c r="B12" s="135"/>
      <c r="C12" s="136"/>
      <c r="D12" s="12" t="s">
        <v>27</v>
      </c>
      <c r="E12" s="39">
        <v>13</v>
      </c>
      <c r="F12" s="38">
        <v>14</v>
      </c>
      <c r="G12" s="39">
        <v>20</v>
      </c>
      <c r="H12" s="38">
        <v>17</v>
      </c>
      <c r="I12" s="38">
        <v>23</v>
      </c>
      <c r="J12" s="38">
        <v>21</v>
      </c>
      <c r="K12" s="38">
        <v>31</v>
      </c>
      <c r="L12" s="38">
        <v>14</v>
      </c>
      <c r="M12" s="38">
        <v>16</v>
      </c>
      <c r="N12" s="36">
        <v>20</v>
      </c>
      <c r="O12" s="36">
        <v>19</v>
      </c>
      <c r="P12" s="36">
        <v>14</v>
      </c>
    </row>
    <row r="13" spans="2:16" x14ac:dyDescent="0.2">
      <c r="B13" s="137"/>
      <c r="C13" s="138"/>
      <c r="D13" s="11" t="s">
        <v>28</v>
      </c>
      <c r="E13" s="77">
        <f t="shared" ref="E13:P13" si="0">+E11/E12</f>
        <v>0.76923076923076927</v>
      </c>
      <c r="F13" s="77">
        <f t="shared" si="0"/>
        <v>1.1428571428571428</v>
      </c>
      <c r="G13" s="77">
        <f t="shared" si="0"/>
        <v>1.55</v>
      </c>
      <c r="H13" s="77">
        <f t="shared" si="0"/>
        <v>1.411764705882353</v>
      </c>
      <c r="I13" s="77">
        <f t="shared" si="0"/>
        <v>1.8695652173913044</v>
      </c>
      <c r="J13" s="77">
        <f t="shared" si="0"/>
        <v>1.7142857142857142</v>
      </c>
      <c r="K13" s="77">
        <f t="shared" si="0"/>
        <v>1.6774193548387097</v>
      </c>
      <c r="L13" s="77">
        <f t="shared" si="0"/>
        <v>1.1428571428571428</v>
      </c>
      <c r="M13" s="77">
        <f t="shared" si="0"/>
        <v>2.1875</v>
      </c>
      <c r="N13" s="50">
        <f t="shared" si="0"/>
        <v>2.9</v>
      </c>
      <c r="O13" s="50">
        <f t="shared" si="0"/>
        <v>2.0526315789473686</v>
      </c>
      <c r="P13" s="50">
        <f t="shared" si="0"/>
        <v>0.9285714285714286</v>
      </c>
    </row>
    <row r="14" spans="2:16" ht="12.75" customHeight="1" x14ac:dyDescent="0.2">
      <c r="B14" s="133" t="s">
        <v>44</v>
      </c>
      <c r="C14" s="134"/>
      <c r="D14" s="13" t="s">
        <v>45</v>
      </c>
      <c r="E14" s="45">
        <v>171</v>
      </c>
      <c r="F14" s="44">
        <v>126</v>
      </c>
      <c r="G14" s="45">
        <v>118</v>
      </c>
      <c r="H14" s="44">
        <f>92+39+3</f>
        <v>134</v>
      </c>
      <c r="I14" s="44">
        <f>84+36+6</f>
        <v>126</v>
      </c>
      <c r="J14" s="44">
        <f>104+36+8</f>
        <v>148</v>
      </c>
      <c r="K14" s="44">
        <f>89+44+6</f>
        <v>139</v>
      </c>
      <c r="L14" s="44">
        <f>95+22+3</f>
        <v>120</v>
      </c>
      <c r="M14" s="44">
        <f>49+36+4</f>
        <v>89</v>
      </c>
      <c r="N14" s="43">
        <f>88+31</f>
        <v>119</v>
      </c>
      <c r="O14" s="43">
        <f>93+23+6</f>
        <v>122</v>
      </c>
      <c r="P14" s="43">
        <f>95+29+4</f>
        <v>128</v>
      </c>
    </row>
    <row r="15" spans="2:16" ht="15" customHeight="1" x14ac:dyDescent="0.2">
      <c r="B15" s="135"/>
      <c r="C15" s="136"/>
      <c r="D15" s="14" t="s">
        <v>29</v>
      </c>
      <c r="E15" s="39">
        <v>171</v>
      </c>
      <c r="F15" s="38">
        <v>126</v>
      </c>
      <c r="G15" s="39">
        <v>118</v>
      </c>
      <c r="H15" s="38">
        <v>134</v>
      </c>
      <c r="I15" s="38">
        <v>126</v>
      </c>
      <c r="J15" s="38">
        <v>148</v>
      </c>
      <c r="K15" s="38">
        <f>89+44+6</f>
        <v>139</v>
      </c>
      <c r="L15" s="38">
        <f>95+22+3</f>
        <v>120</v>
      </c>
      <c r="M15" s="38">
        <f>49+36+4</f>
        <v>89</v>
      </c>
      <c r="N15" s="36">
        <f>88+31</f>
        <v>119</v>
      </c>
      <c r="O15" s="36">
        <v>122</v>
      </c>
      <c r="P15" s="36">
        <v>128</v>
      </c>
    </row>
    <row r="16" spans="2:16" ht="13.5" customHeight="1" x14ac:dyDescent="0.2">
      <c r="B16" s="135"/>
      <c r="C16" s="136"/>
      <c r="D16" s="14" t="s">
        <v>30</v>
      </c>
      <c r="E16" s="38">
        <f>E14-E15</f>
        <v>0</v>
      </c>
      <c r="F16" s="38">
        <f>F14-F15</f>
        <v>0</v>
      </c>
      <c r="G16" s="38">
        <f>G14-G15</f>
        <v>0</v>
      </c>
      <c r="H16" s="40">
        <v>0</v>
      </c>
      <c r="I16" s="40">
        <v>0</v>
      </c>
      <c r="J16" s="40">
        <v>0</v>
      </c>
      <c r="K16" s="38">
        <v>0</v>
      </c>
      <c r="L16" s="38">
        <v>0</v>
      </c>
      <c r="M16" s="38">
        <v>0</v>
      </c>
      <c r="N16" s="66">
        <v>0</v>
      </c>
      <c r="O16" s="66">
        <v>0</v>
      </c>
      <c r="P16" s="66">
        <v>0</v>
      </c>
    </row>
    <row r="17" spans="2:16" x14ac:dyDescent="0.2">
      <c r="B17" s="137"/>
      <c r="C17" s="138"/>
      <c r="D17" s="11" t="s">
        <v>17</v>
      </c>
      <c r="E17" s="75">
        <f t="shared" ref="E17:P17" si="1">E15/E14</f>
        <v>1</v>
      </c>
      <c r="F17" s="75">
        <f t="shared" si="1"/>
        <v>1</v>
      </c>
      <c r="G17" s="75">
        <f t="shared" si="1"/>
        <v>1</v>
      </c>
      <c r="H17" s="75">
        <f t="shared" si="1"/>
        <v>1</v>
      </c>
      <c r="I17" s="75">
        <f t="shared" si="1"/>
        <v>1</v>
      </c>
      <c r="J17" s="75">
        <f t="shared" si="1"/>
        <v>1</v>
      </c>
      <c r="K17" s="75">
        <f t="shared" si="1"/>
        <v>1</v>
      </c>
      <c r="L17" s="75">
        <f t="shared" si="1"/>
        <v>1</v>
      </c>
      <c r="M17" s="75">
        <f t="shared" si="1"/>
        <v>1</v>
      </c>
      <c r="N17" s="52">
        <f t="shared" si="1"/>
        <v>1</v>
      </c>
      <c r="O17" s="52">
        <f t="shared" si="1"/>
        <v>1</v>
      </c>
      <c r="P17" s="52">
        <f t="shared" si="1"/>
        <v>1</v>
      </c>
    </row>
    <row r="18" spans="2:16" x14ac:dyDescent="0.2">
      <c r="B18" s="139" t="s">
        <v>18</v>
      </c>
      <c r="C18" s="140"/>
      <c r="D18" s="27"/>
      <c r="E18" s="30"/>
      <c r="F18" s="31"/>
      <c r="G18" s="30"/>
      <c r="H18" s="31"/>
      <c r="I18" s="30"/>
      <c r="J18" s="31"/>
      <c r="K18" s="32"/>
      <c r="L18" s="33"/>
      <c r="M18" s="32"/>
      <c r="N18" s="31"/>
      <c r="O18" s="30"/>
      <c r="P18" s="31"/>
    </row>
    <row r="19" spans="2:16" x14ac:dyDescent="0.2">
      <c r="B19" s="148" t="s">
        <v>19</v>
      </c>
      <c r="C19" s="130" t="s">
        <v>46</v>
      </c>
      <c r="D19" s="13" t="s">
        <v>47</v>
      </c>
      <c r="E19" s="45">
        <v>3643</v>
      </c>
      <c r="F19" s="44">
        <v>3630</v>
      </c>
      <c r="G19" s="45">
        <v>3631</v>
      </c>
      <c r="H19" s="44">
        <v>3622</v>
      </c>
      <c r="I19" s="44">
        <v>3625</v>
      </c>
      <c r="J19" s="44">
        <v>3625</v>
      </c>
      <c r="K19" s="44">
        <v>3643</v>
      </c>
      <c r="L19" s="44">
        <v>3636</v>
      </c>
      <c r="M19" s="44">
        <v>3638</v>
      </c>
      <c r="N19" s="43">
        <v>3628</v>
      </c>
      <c r="O19" s="43">
        <v>3610</v>
      </c>
      <c r="P19" s="43">
        <v>3617</v>
      </c>
    </row>
    <row r="20" spans="2:16" x14ac:dyDescent="0.2">
      <c r="B20" s="149"/>
      <c r="C20" s="131"/>
      <c r="D20" s="12" t="s">
        <v>48</v>
      </c>
      <c r="E20" s="39">
        <v>6</v>
      </c>
      <c r="F20" s="38">
        <v>10</v>
      </c>
      <c r="G20" s="39">
        <v>11</v>
      </c>
      <c r="H20" s="38">
        <v>11</v>
      </c>
      <c r="I20" s="38">
        <v>9</v>
      </c>
      <c r="J20" s="38">
        <v>2</v>
      </c>
      <c r="K20" s="38">
        <v>4</v>
      </c>
      <c r="L20" s="38">
        <v>5</v>
      </c>
      <c r="M20" s="38">
        <v>3</v>
      </c>
      <c r="N20" s="36">
        <v>45</v>
      </c>
      <c r="O20" s="36">
        <v>10</v>
      </c>
      <c r="P20" s="36">
        <v>9</v>
      </c>
    </row>
    <row r="21" spans="2:16" x14ac:dyDescent="0.2">
      <c r="B21" s="149"/>
      <c r="C21" s="132"/>
      <c r="D21" s="11" t="s">
        <v>40</v>
      </c>
      <c r="E21" s="54">
        <f t="shared" ref="E21:P21" si="2">E20/E19</f>
        <v>1.6469942355201758E-3</v>
      </c>
      <c r="F21" s="54">
        <f t="shared" si="2"/>
        <v>2.7548209366391185E-3</v>
      </c>
      <c r="G21" s="54">
        <f t="shared" si="2"/>
        <v>3.0294684659873312E-3</v>
      </c>
      <c r="H21" s="54">
        <f t="shared" si="2"/>
        <v>3.0369961347321921E-3</v>
      </c>
      <c r="I21" s="54">
        <f t="shared" si="2"/>
        <v>2.4827586206896553E-3</v>
      </c>
      <c r="J21" s="54">
        <f t="shared" si="2"/>
        <v>5.5172413793103451E-4</v>
      </c>
      <c r="K21" s="54">
        <f t="shared" si="2"/>
        <v>1.0979961570134504E-3</v>
      </c>
      <c r="L21" s="54">
        <f t="shared" si="2"/>
        <v>1.3751375137513752E-3</v>
      </c>
      <c r="M21" s="54">
        <f t="shared" si="2"/>
        <v>8.2462891698735572E-4</v>
      </c>
      <c r="N21" s="53">
        <f t="shared" si="2"/>
        <v>1.2403528114663727E-2</v>
      </c>
      <c r="O21" s="53">
        <f t="shared" si="2"/>
        <v>2.7700831024930748E-3</v>
      </c>
      <c r="P21" s="53">
        <f t="shared" si="2"/>
        <v>2.4882499308819463E-3</v>
      </c>
    </row>
    <row r="22" spans="2:16" ht="12.75" customHeight="1" x14ac:dyDescent="0.2">
      <c r="B22" s="149"/>
      <c r="C22" s="112" t="s">
        <v>31</v>
      </c>
      <c r="D22" s="29" t="s">
        <v>47</v>
      </c>
      <c r="E22" s="45"/>
      <c r="F22" s="44"/>
      <c r="G22" s="45"/>
      <c r="H22" s="44"/>
      <c r="I22" s="45"/>
      <c r="J22" s="44"/>
      <c r="K22" s="45"/>
      <c r="L22" s="44"/>
      <c r="M22" s="45"/>
      <c r="N22" s="44"/>
      <c r="O22" s="45"/>
      <c r="P22" s="44"/>
    </row>
    <row r="23" spans="2:16" x14ac:dyDescent="0.2">
      <c r="B23" s="149"/>
      <c r="C23" s="113"/>
      <c r="D23" s="27" t="s">
        <v>48</v>
      </c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</row>
    <row r="24" spans="2:16" x14ac:dyDescent="0.2">
      <c r="B24" s="149"/>
      <c r="C24" s="114"/>
      <c r="D24" s="28" t="s">
        <v>40</v>
      </c>
      <c r="E24" s="41"/>
      <c r="F24" s="40"/>
      <c r="G24" s="41"/>
      <c r="H24" s="40"/>
      <c r="I24" s="41"/>
      <c r="J24" s="40"/>
      <c r="K24" s="41"/>
      <c r="L24" s="40"/>
      <c r="M24" s="41"/>
      <c r="N24" s="40"/>
      <c r="O24" s="41"/>
      <c r="P24" s="40"/>
    </row>
    <row r="25" spans="2:16" ht="12.75" customHeight="1" x14ac:dyDescent="0.2">
      <c r="B25" s="149"/>
      <c r="C25" s="112" t="s">
        <v>49</v>
      </c>
      <c r="D25" s="29" t="s">
        <v>47</v>
      </c>
      <c r="E25" s="45"/>
      <c r="F25" s="44"/>
      <c r="G25" s="45"/>
      <c r="H25" s="44"/>
      <c r="I25" s="45"/>
      <c r="J25" s="44"/>
      <c r="K25" s="45"/>
      <c r="L25" s="44"/>
      <c r="M25" s="45"/>
      <c r="N25" s="44"/>
      <c r="O25" s="45"/>
      <c r="P25" s="44"/>
    </row>
    <row r="26" spans="2:16" x14ac:dyDescent="0.2">
      <c r="B26" s="149"/>
      <c r="C26" s="113"/>
      <c r="D26" s="27" t="s">
        <v>48</v>
      </c>
      <c r="E26" s="39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</row>
    <row r="27" spans="2:16" x14ac:dyDescent="0.2">
      <c r="B27" s="150"/>
      <c r="C27" s="114"/>
      <c r="D27" s="28" t="s">
        <v>40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2:16" x14ac:dyDescent="0.2">
      <c r="B28" s="151" t="s">
        <v>50</v>
      </c>
      <c r="C28" s="134"/>
      <c r="D28" s="15" t="s">
        <v>51</v>
      </c>
      <c r="E28" s="45">
        <v>4</v>
      </c>
      <c r="F28" s="44">
        <v>22</v>
      </c>
      <c r="G28" s="45">
        <v>4</v>
      </c>
      <c r="H28" s="44">
        <v>5</v>
      </c>
      <c r="I28" s="45">
        <v>6</v>
      </c>
      <c r="J28" s="44">
        <v>2</v>
      </c>
      <c r="K28" s="45">
        <v>9</v>
      </c>
      <c r="L28" s="44">
        <v>7</v>
      </c>
      <c r="M28" s="45">
        <v>2</v>
      </c>
      <c r="N28" s="43">
        <v>193</v>
      </c>
      <c r="O28" s="42">
        <v>9</v>
      </c>
      <c r="P28" s="43">
        <v>15</v>
      </c>
    </row>
    <row r="29" spans="2:16" x14ac:dyDescent="0.2">
      <c r="B29" s="135"/>
      <c r="C29" s="136"/>
      <c r="D29" s="12" t="s">
        <v>52</v>
      </c>
      <c r="E29" s="39">
        <v>3</v>
      </c>
      <c r="F29" s="38">
        <v>18</v>
      </c>
      <c r="G29" s="39">
        <v>4</v>
      </c>
      <c r="H29" s="38">
        <v>5</v>
      </c>
      <c r="I29" s="39">
        <v>6</v>
      </c>
      <c r="J29" s="38">
        <v>2</v>
      </c>
      <c r="K29" s="39">
        <v>9</v>
      </c>
      <c r="L29" s="38">
        <v>7</v>
      </c>
      <c r="M29" s="39">
        <v>2</v>
      </c>
      <c r="N29" s="36">
        <v>150</v>
      </c>
      <c r="O29" s="37">
        <v>2</v>
      </c>
      <c r="P29" s="36">
        <v>14</v>
      </c>
    </row>
    <row r="30" spans="2:16" x14ac:dyDescent="0.2">
      <c r="B30" s="135"/>
      <c r="C30" s="136"/>
      <c r="D30" s="16" t="s">
        <v>53</v>
      </c>
      <c r="E30" s="54">
        <f t="shared" ref="E30:P30" si="3">E29/E28</f>
        <v>0.75</v>
      </c>
      <c r="F30" s="54">
        <f t="shared" si="3"/>
        <v>0.81818181818181823</v>
      </c>
      <c r="G30" s="54">
        <f t="shared" si="3"/>
        <v>1</v>
      </c>
      <c r="H30" s="54">
        <f t="shared" si="3"/>
        <v>1</v>
      </c>
      <c r="I30" s="54">
        <f t="shared" si="3"/>
        <v>1</v>
      </c>
      <c r="J30" s="54">
        <f t="shared" si="3"/>
        <v>1</v>
      </c>
      <c r="K30" s="54">
        <f t="shared" si="3"/>
        <v>1</v>
      </c>
      <c r="L30" s="54">
        <f t="shared" si="3"/>
        <v>1</v>
      </c>
      <c r="M30" s="54">
        <f t="shared" si="3"/>
        <v>1</v>
      </c>
      <c r="N30" s="53">
        <f t="shared" si="3"/>
        <v>0.77720207253886009</v>
      </c>
      <c r="O30" s="53">
        <f t="shared" si="3"/>
        <v>0.22222222222222221</v>
      </c>
      <c r="P30" s="53">
        <f t="shared" si="3"/>
        <v>0.93333333333333335</v>
      </c>
    </row>
    <row r="31" spans="2:16" x14ac:dyDescent="0.2">
      <c r="B31" s="135"/>
      <c r="C31" s="136"/>
      <c r="D31" s="12" t="s">
        <v>41</v>
      </c>
      <c r="E31" s="62">
        <v>35.46</v>
      </c>
      <c r="F31" s="56">
        <v>206.42</v>
      </c>
      <c r="G31" s="62">
        <v>28.36</v>
      </c>
      <c r="H31" s="56">
        <v>50.12</v>
      </c>
      <c r="I31" s="62">
        <v>49.96</v>
      </c>
      <c r="J31" s="56">
        <v>7.23</v>
      </c>
      <c r="K31" s="62">
        <v>51.32</v>
      </c>
      <c r="L31" s="56">
        <v>53.6</v>
      </c>
      <c r="M31" s="62">
        <v>23.03</v>
      </c>
      <c r="N31" s="55">
        <v>6338.24</v>
      </c>
      <c r="O31" s="61">
        <v>156.66999999999999</v>
      </c>
      <c r="P31" s="55">
        <v>150.41</v>
      </c>
    </row>
    <row r="32" spans="2:16" x14ac:dyDescent="0.2">
      <c r="B32" s="137"/>
      <c r="C32" s="138"/>
      <c r="D32" s="11" t="s">
        <v>42</v>
      </c>
      <c r="E32" s="60">
        <v>8.8699999999999992</v>
      </c>
      <c r="F32" s="59">
        <v>9.3800000000000008</v>
      </c>
      <c r="G32" s="60">
        <v>7.09</v>
      </c>
      <c r="H32" s="59">
        <v>10.02</v>
      </c>
      <c r="I32" s="60">
        <v>8.33</v>
      </c>
      <c r="J32" s="59">
        <v>3.62</v>
      </c>
      <c r="K32" s="60">
        <v>5.7</v>
      </c>
      <c r="L32" s="59">
        <v>7.66</v>
      </c>
      <c r="M32" s="60">
        <v>11.52</v>
      </c>
      <c r="N32" s="64">
        <v>32.840000000000003</v>
      </c>
      <c r="O32" s="63">
        <v>17.41</v>
      </c>
      <c r="P32" s="64">
        <v>10.029999999999999</v>
      </c>
    </row>
    <row r="34" spans="2:16" s="3" customFormat="1" x14ac:dyDescent="0.2">
      <c r="B34" s="141" t="s">
        <v>20</v>
      </c>
      <c r="C34" s="142"/>
      <c r="D34" s="142"/>
      <c r="E34" s="142"/>
      <c r="F34" s="142"/>
      <c r="G34" s="142"/>
      <c r="H34" s="143"/>
      <c r="I34" s="163" t="s">
        <v>1</v>
      </c>
      <c r="J34" s="164"/>
      <c r="K34" s="163" t="s">
        <v>2</v>
      </c>
      <c r="L34" s="164"/>
      <c r="M34" s="163" t="s">
        <v>3</v>
      </c>
      <c r="N34" s="164"/>
      <c r="O34" s="163" t="s">
        <v>4</v>
      </c>
      <c r="P34" s="164"/>
    </row>
    <row r="35" spans="2:16" ht="12.75" customHeight="1" x14ac:dyDescent="0.2">
      <c r="B35" s="159" t="s">
        <v>54</v>
      </c>
      <c r="C35" s="160"/>
      <c r="D35" s="160"/>
      <c r="E35" s="144" t="s">
        <v>55</v>
      </c>
      <c r="F35" s="144"/>
      <c r="G35" s="144"/>
      <c r="H35" s="144"/>
      <c r="I35" s="165"/>
      <c r="J35" s="166"/>
      <c r="K35" s="165"/>
      <c r="L35" s="166"/>
      <c r="M35" s="165"/>
      <c r="N35" s="166"/>
      <c r="O35" s="165"/>
      <c r="P35" s="166"/>
    </row>
    <row r="36" spans="2:16" x14ac:dyDescent="0.2">
      <c r="B36" s="160"/>
      <c r="C36" s="160"/>
      <c r="D36" s="160"/>
      <c r="E36" s="144" t="s">
        <v>21</v>
      </c>
      <c r="F36" s="144"/>
      <c r="G36" s="144"/>
      <c r="H36" s="144"/>
      <c r="I36" s="165"/>
      <c r="J36" s="166"/>
      <c r="K36" s="165"/>
      <c r="L36" s="166"/>
      <c r="M36" s="165"/>
      <c r="N36" s="166"/>
      <c r="O36" s="165"/>
      <c r="P36" s="166"/>
    </row>
    <row r="37" spans="2:16" x14ac:dyDescent="0.2">
      <c r="B37" s="160"/>
      <c r="C37" s="160"/>
      <c r="D37" s="160"/>
      <c r="E37" s="144" t="s">
        <v>56</v>
      </c>
      <c r="F37" s="144"/>
      <c r="G37" s="144"/>
      <c r="H37" s="144"/>
      <c r="I37" s="165"/>
      <c r="J37" s="166"/>
      <c r="K37" s="165"/>
      <c r="L37" s="166"/>
      <c r="M37" s="165"/>
      <c r="N37" s="166"/>
      <c r="O37" s="165"/>
      <c r="P37" s="166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93" t="s">
        <v>22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69</v>
      </c>
      <c r="G43" s="6" t="s">
        <v>34</v>
      </c>
      <c r="H43" s="115" t="s">
        <v>70</v>
      </c>
      <c r="I43" s="115"/>
      <c r="J43" s="115"/>
      <c r="L43" s="6" t="s">
        <v>35</v>
      </c>
      <c r="M43" s="116" t="s">
        <v>71</v>
      </c>
      <c r="N43" s="115"/>
      <c r="O43" s="115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  <c r="H47" s="83"/>
      <c r="I47" s="83"/>
      <c r="J47" s="83"/>
      <c r="K47" s="83"/>
      <c r="L47" s="83"/>
      <c r="M47" s="83"/>
      <c r="N47" s="83"/>
    </row>
    <row r="48" spans="2:16" x14ac:dyDescent="0.2">
      <c r="B48" s="7" t="s">
        <v>25</v>
      </c>
      <c r="H48" s="84"/>
      <c r="I48" s="83"/>
      <c r="J48" s="83"/>
      <c r="K48" s="83"/>
      <c r="L48" s="83"/>
      <c r="M48" s="83"/>
      <c r="N48" s="83"/>
    </row>
    <row r="49" spans="2:14" x14ac:dyDescent="0.2">
      <c r="B49" s="7" t="s">
        <v>57</v>
      </c>
      <c r="H49" s="83"/>
      <c r="I49" s="83"/>
      <c r="J49" s="83"/>
      <c r="K49" s="83"/>
      <c r="L49" s="83"/>
      <c r="M49" s="83"/>
      <c r="N49" s="83"/>
    </row>
  </sheetData>
  <mergeCells count="43"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3" r:id="rId1" display="keithb@volcanotel.com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/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20" t="s">
        <v>23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2:16" s="3" customFormat="1" ht="13.5" thickBot="1" x14ac:dyDescent="0.25">
      <c r="B2" s="3" t="s">
        <v>36</v>
      </c>
      <c r="D2" s="145" t="s">
        <v>58</v>
      </c>
      <c r="E2" s="145"/>
      <c r="I2" s="4" t="s">
        <v>32</v>
      </c>
      <c r="J2" s="9">
        <v>1019</v>
      </c>
      <c r="M2" s="3" t="s">
        <v>37</v>
      </c>
      <c r="N2" s="6"/>
      <c r="O2" s="9">
        <f>'Total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2" t="s">
        <v>0</v>
      </c>
      <c r="C7" s="153"/>
      <c r="D7" s="154"/>
      <c r="E7" s="161" t="s">
        <v>65</v>
      </c>
      <c r="F7" s="106"/>
      <c r="G7" s="106"/>
      <c r="H7" s="161" t="s">
        <v>66</v>
      </c>
      <c r="I7" s="106"/>
      <c r="J7" s="146"/>
      <c r="K7" s="101" t="s">
        <v>67</v>
      </c>
      <c r="L7" s="106"/>
      <c r="M7" s="106"/>
      <c r="N7" s="162" t="s">
        <v>68</v>
      </c>
      <c r="O7" s="125"/>
      <c r="P7" s="126"/>
    </row>
    <row r="8" spans="2:16" s="2" customFormat="1" ht="12.75" customHeight="1" x14ac:dyDescent="0.2">
      <c r="B8" s="155"/>
      <c r="C8" s="156"/>
      <c r="D8" s="157"/>
      <c r="E8" s="107"/>
      <c r="F8" s="108"/>
      <c r="G8" s="108"/>
      <c r="H8" s="107"/>
      <c r="I8" s="108"/>
      <c r="J8" s="147"/>
      <c r="K8" s="108"/>
      <c r="L8" s="108"/>
      <c r="M8" s="108"/>
      <c r="N8" s="127"/>
      <c r="O8" s="128"/>
      <c r="P8" s="129"/>
    </row>
    <row r="9" spans="2:16" ht="12.75" customHeight="1" x14ac:dyDescent="0.2">
      <c r="B9" s="155"/>
      <c r="C9" s="156"/>
      <c r="D9" s="157"/>
      <c r="E9" s="117" t="s">
        <v>1</v>
      </c>
      <c r="F9" s="118"/>
      <c r="G9" s="119"/>
      <c r="H9" s="117" t="s">
        <v>2</v>
      </c>
      <c r="I9" s="118"/>
      <c r="J9" s="119"/>
      <c r="K9" s="117" t="s">
        <v>3</v>
      </c>
      <c r="L9" s="118"/>
      <c r="M9" s="119"/>
      <c r="N9" s="109" t="s">
        <v>4</v>
      </c>
      <c r="O9" s="110"/>
      <c r="P9" s="111"/>
    </row>
    <row r="10" spans="2:16" s="10" customFormat="1" ht="12.75" customHeight="1" x14ac:dyDescent="0.2">
      <c r="B10" s="137"/>
      <c r="C10" s="158"/>
      <c r="D10" s="138"/>
      <c r="E10" s="25" t="s">
        <v>5</v>
      </c>
      <c r="F10" s="25" t="s">
        <v>6</v>
      </c>
      <c r="G10" s="26" t="s">
        <v>7</v>
      </c>
      <c r="H10" s="25" t="s">
        <v>8</v>
      </c>
      <c r="I10" s="26" t="s">
        <v>9</v>
      </c>
      <c r="J10" s="25" t="s">
        <v>10</v>
      </c>
      <c r="K10" s="26" t="s">
        <v>11</v>
      </c>
      <c r="L10" s="25" t="s">
        <v>12</v>
      </c>
      <c r="M10" s="26" t="s">
        <v>13</v>
      </c>
      <c r="N10" s="23" t="s">
        <v>14</v>
      </c>
      <c r="O10" s="24" t="s">
        <v>15</v>
      </c>
      <c r="P10" s="23" t="s">
        <v>16</v>
      </c>
    </row>
    <row r="11" spans="2:16" ht="12.75" customHeight="1" x14ac:dyDescent="0.2">
      <c r="B11" s="133" t="s">
        <v>43</v>
      </c>
      <c r="C11" s="134"/>
      <c r="D11" s="11" t="s">
        <v>26</v>
      </c>
      <c r="E11" s="74">
        <v>21</v>
      </c>
      <c r="F11" s="38">
        <v>7</v>
      </c>
      <c r="G11" s="39">
        <v>22</v>
      </c>
      <c r="H11" s="38">
        <v>29</v>
      </c>
      <c r="I11" s="38">
        <v>31</v>
      </c>
      <c r="J11" s="38">
        <v>46</v>
      </c>
      <c r="K11" s="38">
        <v>30</v>
      </c>
      <c r="L11" s="38">
        <v>26</v>
      </c>
      <c r="M11" s="38">
        <v>28</v>
      </c>
      <c r="N11" s="36">
        <v>34</v>
      </c>
      <c r="O11" s="36">
        <v>26</v>
      </c>
      <c r="P11" s="36">
        <v>23</v>
      </c>
    </row>
    <row r="12" spans="2:16" x14ac:dyDescent="0.2">
      <c r="B12" s="135"/>
      <c r="C12" s="136"/>
      <c r="D12" s="12" t="s">
        <v>27</v>
      </c>
      <c r="E12" s="39">
        <v>16</v>
      </c>
      <c r="F12" s="38">
        <v>13</v>
      </c>
      <c r="G12" s="39">
        <v>17</v>
      </c>
      <c r="H12" s="38">
        <v>29</v>
      </c>
      <c r="I12" s="38">
        <v>17</v>
      </c>
      <c r="J12" s="38">
        <v>28</v>
      </c>
      <c r="K12" s="38">
        <v>21</v>
      </c>
      <c r="L12" s="38">
        <v>22</v>
      </c>
      <c r="M12" s="38">
        <v>13</v>
      </c>
      <c r="N12" s="36">
        <v>23</v>
      </c>
      <c r="O12" s="36">
        <v>22</v>
      </c>
      <c r="P12" s="36">
        <v>18</v>
      </c>
    </row>
    <row r="13" spans="2:16" x14ac:dyDescent="0.2">
      <c r="B13" s="137"/>
      <c r="C13" s="138"/>
      <c r="D13" s="11" t="s">
        <v>28</v>
      </c>
      <c r="E13" s="77">
        <f t="shared" ref="E13:P13" si="0">+E11/E12</f>
        <v>1.3125</v>
      </c>
      <c r="F13" s="77">
        <f t="shared" si="0"/>
        <v>0.53846153846153844</v>
      </c>
      <c r="G13" s="77">
        <f t="shared" si="0"/>
        <v>1.2941176470588236</v>
      </c>
      <c r="H13" s="77">
        <f t="shared" si="0"/>
        <v>1</v>
      </c>
      <c r="I13" s="77">
        <f t="shared" si="0"/>
        <v>1.8235294117647058</v>
      </c>
      <c r="J13" s="77">
        <f t="shared" si="0"/>
        <v>1.6428571428571428</v>
      </c>
      <c r="K13" s="77">
        <f t="shared" si="0"/>
        <v>1.4285714285714286</v>
      </c>
      <c r="L13" s="77">
        <f t="shared" si="0"/>
        <v>1.1818181818181819</v>
      </c>
      <c r="M13" s="77">
        <f t="shared" si="0"/>
        <v>2.1538461538461537</v>
      </c>
      <c r="N13" s="50">
        <f t="shared" si="0"/>
        <v>1.4782608695652173</v>
      </c>
      <c r="O13" s="50">
        <f t="shared" si="0"/>
        <v>1.1818181818181819</v>
      </c>
      <c r="P13" s="50">
        <f t="shared" si="0"/>
        <v>1.2777777777777777</v>
      </c>
    </row>
    <row r="14" spans="2:16" ht="12.75" customHeight="1" x14ac:dyDescent="0.2">
      <c r="B14" s="133" t="s">
        <v>44</v>
      </c>
      <c r="C14" s="134"/>
      <c r="D14" s="13" t="s">
        <v>45</v>
      </c>
      <c r="E14" s="45">
        <v>170</v>
      </c>
      <c r="F14" s="44">
        <v>113</v>
      </c>
      <c r="G14" s="45">
        <v>141</v>
      </c>
      <c r="H14" s="38">
        <f>132+51+5</f>
        <v>188</v>
      </c>
      <c r="I14" s="38">
        <f>123+36+3</f>
        <v>162</v>
      </c>
      <c r="J14" s="38">
        <f>119+39+6</f>
        <v>164</v>
      </c>
      <c r="K14" s="38">
        <f>140+52+10</f>
        <v>202</v>
      </c>
      <c r="L14" s="38">
        <f>101+43+2</f>
        <v>146</v>
      </c>
      <c r="M14" s="38">
        <f>58+29+4</f>
        <v>91</v>
      </c>
      <c r="N14" s="36">
        <f>128+34+3</f>
        <v>165</v>
      </c>
      <c r="O14" s="36">
        <f>106+28+8</f>
        <v>142</v>
      </c>
      <c r="P14" s="36">
        <f>98+30+9</f>
        <v>137</v>
      </c>
    </row>
    <row r="15" spans="2:16" ht="15" customHeight="1" x14ac:dyDescent="0.2">
      <c r="B15" s="135"/>
      <c r="C15" s="136"/>
      <c r="D15" s="14" t="s">
        <v>29</v>
      </c>
      <c r="E15" s="39">
        <v>170</v>
      </c>
      <c r="F15" s="38">
        <v>113</v>
      </c>
      <c r="G15" s="39">
        <v>141</v>
      </c>
      <c r="H15" s="38">
        <v>188</v>
      </c>
      <c r="I15" s="38">
        <v>162</v>
      </c>
      <c r="J15" s="38">
        <v>164</v>
      </c>
      <c r="K15" s="38">
        <f>140+52+10</f>
        <v>202</v>
      </c>
      <c r="L15" s="38">
        <f>101+43+2</f>
        <v>146</v>
      </c>
      <c r="M15" s="38">
        <f>58+29+4</f>
        <v>91</v>
      </c>
      <c r="N15" s="36">
        <v>165</v>
      </c>
      <c r="O15" s="36">
        <v>142</v>
      </c>
      <c r="P15" s="36">
        <v>137</v>
      </c>
    </row>
    <row r="16" spans="2:16" ht="13.5" customHeight="1" x14ac:dyDescent="0.2">
      <c r="B16" s="135"/>
      <c r="C16" s="136"/>
      <c r="D16" s="14" t="s">
        <v>30</v>
      </c>
      <c r="E16" s="38">
        <f>E14-E15</f>
        <v>0</v>
      </c>
      <c r="F16" s="38">
        <f>F14-F15</f>
        <v>0</v>
      </c>
      <c r="G16" s="38">
        <f>G14-G15</f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66">
        <v>0</v>
      </c>
      <c r="O16" s="66">
        <v>0</v>
      </c>
      <c r="P16" s="66">
        <v>0</v>
      </c>
    </row>
    <row r="17" spans="2:16" x14ac:dyDescent="0.2">
      <c r="B17" s="137"/>
      <c r="C17" s="138"/>
      <c r="D17" s="11" t="s">
        <v>17</v>
      </c>
      <c r="E17" s="75">
        <f t="shared" ref="E17:P17" si="1">E15/E14</f>
        <v>1</v>
      </c>
      <c r="F17" s="75">
        <f t="shared" si="1"/>
        <v>1</v>
      </c>
      <c r="G17" s="75">
        <f t="shared" si="1"/>
        <v>1</v>
      </c>
      <c r="H17" s="75">
        <f t="shared" si="1"/>
        <v>1</v>
      </c>
      <c r="I17" s="75">
        <f t="shared" si="1"/>
        <v>1</v>
      </c>
      <c r="J17" s="75">
        <f t="shared" si="1"/>
        <v>1</v>
      </c>
      <c r="K17" s="75">
        <f t="shared" si="1"/>
        <v>1</v>
      </c>
      <c r="L17" s="75">
        <f t="shared" si="1"/>
        <v>1</v>
      </c>
      <c r="M17" s="75">
        <f t="shared" si="1"/>
        <v>1</v>
      </c>
      <c r="N17" s="52">
        <f t="shared" si="1"/>
        <v>1</v>
      </c>
      <c r="O17" s="52">
        <f t="shared" si="1"/>
        <v>1</v>
      </c>
      <c r="P17" s="52">
        <f t="shared" si="1"/>
        <v>1</v>
      </c>
    </row>
    <row r="18" spans="2:16" x14ac:dyDescent="0.2">
      <c r="B18" s="139" t="s">
        <v>18</v>
      </c>
      <c r="C18" s="140"/>
      <c r="D18" s="27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</row>
    <row r="19" spans="2:16" x14ac:dyDescent="0.2">
      <c r="B19" s="148" t="s">
        <v>19</v>
      </c>
      <c r="C19" s="130" t="s">
        <v>46</v>
      </c>
      <c r="D19" s="13" t="s">
        <v>47</v>
      </c>
      <c r="E19" s="45">
        <v>3528</v>
      </c>
      <c r="F19" s="44">
        <v>3520</v>
      </c>
      <c r="G19" s="45">
        <v>3510</v>
      </c>
      <c r="H19" s="38">
        <v>3530</v>
      </c>
      <c r="I19" s="38">
        <v>3516</v>
      </c>
      <c r="J19" s="38">
        <v>3533</v>
      </c>
      <c r="K19" s="38">
        <v>3526</v>
      </c>
      <c r="L19" s="38">
        <v>3527</v>
      </c>
      <c r="M19" s="38">
        <v>3532</v>
      </c>
      <c r="N19" s="36">
        <v>3523</v>
      </c>
      <c r="O19" s="36">
        <v>3517</v>
      </c>
      <c r="P19" s="36">
        <v>3532</v>
      </c>
    </row>
    <row r="20" spans="2:16" x14ac:dyDescent="0.2">
      <c r="B20" s="149"/>
      <c r="C20" s="131"/>
      <c r="D20" s="12" t="s">
        <v>48</v>
      </c>
      <c r="E20" s="39">
        <v>10</v>
      </c>
      <c r="F20" s="38">
        <v>6</v>
      </c>
      <c r="G20" s="39">
        <v>7</v>
      </c>
      <c r="H20" s="38">
        <v>2</v>
      </c>
      <c r="I20" s="38">
        <v>6</v>
      </c>
      <c r="J20" s="38">
        <v>12</v>
      </c>
      <c r="K20" s="38">
        <v>8</v>
      </c>
      <c r="L20" s="38">
        <v>11</v>
      </c>
      <c r="M20" s="38">
        <v>2</v>
      </c>
      <c r="N20" s="36">
        <v>19</v>
      </c>
      <c r="O20" s="36">
        <v>15</v>
      </c>
      <c r="P20" s="36">
        <v>28</v>
      </c>
    </row>
    <row r="21" spans="2:16" x14ac:dyDescent="0.2">
      <c r="B21" s="149"/>
      <c r="C21" s="132"/>
      <c r="D21" s="11" t="s">
        <v>40</v>
      </c>
      <c r="E21" s="54">
        <f t="shared" ref="E21:P21" si="2">E20/E19</f>
        <v>2.8344671201814059E-3</v>
      </c>
      <c r="F21" s="54">
        <f t="shared" si="2"/>
        <v>1.7045454545454545E-3</v>
      </c>
      <c r="G21" s="54">
        <f t="shared" si="2"/>
        <v>1.9943019943019944E-3</v>
      </c>
      <c r="H21" s="54">
        <f t="shared" si="2"/>
        <v>5.6657223796033991E-4</v>
      </c>
      <c r="I21" s="54">
        <f t="shared" si="2"/>
        <v>1.7064846416382253E-3</v>
      </c>
      <c r="J21" s="54">
        <f t="shared" si="2"/>
        <v>3.3965468440418909E-3</v>
      </c>
      <c r="K21" s="54">
        <f t="shared" si="2"/>
        <v>2.2688598979013048E-3</v>
      </c>
      <c r="L21" s="54">
        <f t="shared" si="2"/>
        <v>3.1187978451942162E-3</v>
      </c>
      <c r="M21" s="54">
        <f t="shared" si="2"/>
        <v>5.6625141562853911E-4</v>
      </c>
      <c r="N21" s="53">
        <f t="shared" si="2"/>
        <v>5.3931308543854672E-3</v>
      </c>
      <c r="O21" s="53">
        <f t="shared" si="2"/>
        <v>4.2649985783338069E-3</v>
      </c>
      <c r="P21" s="53">
        <f t="shared" si="2"/>
        <v>7.9275198187995465E-3</v>
      </c>
    </row>
    <row r="22" spans="2:16" ht="12.75" customHeight="1" x14ac:dyDescent="0.2">
      <c r="B22" s="149"/>
      <c r="C22" s="112" t="s">
        <v>31</v>
      </c>
      <c r="D22" s="29" t="s">
        <v>47</v>
      </c>
      <c r="E22" s="45"/>
      <c r="F22" s="44"/>
      <c r="G22" s="45"/>
      <c r="H22" s="44"/>
      <c r="I22" s="45"/>
      <c r="J22" s="44"/>
      <c r="K22" s="45"/>
      <c r="L22" s="44"/>
      <c r="M22" s="45"/>
      <c r="N22" s="44"/>
      <c r="O22" s="45"/>
      <c r="P22" s="44"/>
    </row>
    <row r="23" spans="2:16" x14ac:dyDescent="0.2">
      <c r="B23" s="149"/>
      <c r="C23" s="113"/>
      <c r="D23" s="27" t="s">
        <v>48</v>
      </c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</row>
    <row r="24" spans="2:16" x14ac:dyDescent="0.2">
      <c r="B24" s="149"/>
      <c r="C24" s="114"/>
      <c r="D24" s="28" t="s">
        <v>40</v>
      </c>
      <c r="E24" s="41"/>
      <c r="F24" s="40"/>
      <c r="G24" s="41"/>
      <c r="H24" s="40"/>
      <c r="I24" s="41"/>
      <c r="J24" s="40"/>
      <c r="K24" s="41"/>
      <c r="L24" s="40"/>
      <c r="M24" s="41"/>
      <c r="N24" s="40"/>
      <c r="O24" s="41"/>
      <c r="P24" s="40"/>
    </row>
    <row r="25" spans="2:16" ht="12.75" customHeight="1" x14ac:dyDescent="0.2">
      <c r="B25" s="149"/>
      <c r="C25" s="112" t="s">
        <v>49</v>
      </c>
      <c r="D25" s="29" t="s">
        <v>47</v>
      </c>
      <c r="E25" s="45"/>
      <c r="F25" s="44"/>
      <c r="G25" s="45"/>
      <c r="H25" s="44"/>
      <c r="I25" s="45"/>
      <c r="J25" s="44"/>
      <c r="K25" s="45"/>
      <c r="L25" s="44"/>
      <c r="M25" s="45"/>
      <c r="N25" s="44"/>
      <c r="O25" s="45"/>
      <c r="P25" s="44"/>
    </row>
    <row r="26" spans="2:16" x14ac:dyDescent="0.2">
      <c r="B26" s="149"/>
      <c r="C26" s="113"/>
      <c r="D26" s="27" t="s">
        <v>48</v>
      </c>
      <c r="E26" s="39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</row>
    <row r="27" spans="2:16" x14ac:dyDescent="0.2">
      <c r="B27" s="150"/>
      <c r="C27" s="114"/>
      <c r="D27" s="28" t="s">
        <v>40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2:16" x14ac:dyDescent="0.2">
      <c r="B28" s="151" t="s">
        <v>50</v>
      </c>
      <c r="C28" s="134"/>
      <c r="D28" s="15" t="s">
        <v>51</v>
      </c>
      <c r="E28" s="45">
        <v>2</v>
      </c>
      <c r="F28" s="44">
        <v>11</v>
      </c>
      <c r="G28" s="45">
        <v>7</v>
      </c>
      <c r="H28" s="44">
        <v>4</v>
      </c>
      <c r="I28" s="45">
        <v>3</v>
      </c>
      <c r="J28" s="44">
        <v>5</v>
      </c>
      <c r="K28" s="45">
        <v>3</v>
      </c>
      <c r="L28" s="44">
        <v>9</v>
      </c>
      <c r="M28" s="45">
        <v>7</v>
      </c>
      <c r="N28" s="43">
        <v>33</v>
      </c>
      <c r="O28" s="42">
        <v>8</v>
      </c>
      <c r="P28" s="43">
        <v>10</v>
      </c>
    </row>
    <row r="29" spans="2:16" x14ac:dyDescent="0.2">
      <c r="B29" s="135"/>
      <c r="C29" s="136"/>
      <c r="D29" s="12" t="s">
        <v>52</v>
      </c>
      <c r="E29" s="38">
        <v>2</v>
      </c>
      <c r="F29" s="38">
        <v>7</v>
      </c>
      <c r="G29" s="38">
        <v>7</v>
      </c>
      <c r="H29" s="38">
        <v>7</v>
      </c>
      <c r="I29" s="39">
        <v>3</v>
      </c>
      <c r="J29" s="38">
        <v>5</v>
      </c>
      <c r="K29" s="39">
        <v>3</v>
      </c>
      <c r="L29" s="38">
        <v>7</v>
      </c>
      <c r="M29" s="39">
        <v>7</v>
      </c>
      <c r="N29" s="36">
        <v>18</v>
      </c>
      <c r="O29" s="37">
        <v>6</v>
      </c>
      <c r="P29" s="36">
        <v>9</v>
      </c>
    </row>
    <row r="30" spans="2:16" x14ac:dyDescent="0.2">
      <c r="B30" s="135"/>
      <c r="C30" s="136"/>
      <c r="D30" s="16" t="s">
        <v>53</v>
      </c>
      <c r="E30" s="54">
        <f t="shared" ref="E30:P30" si="3">E29/E28</f>
        <v>1</v>
      </c>
      <c r="F30" s="54">
        <f t="shared" si="3"/>
        <v>0.63636363636363635</v>
      </c>
      <c r="G30" s="54">
        <f t="shared" si="3"/>
        <v>1</v>
      </c>
      <c r="H30" s="54">
        <f t="shared" si="3"/>
        <v>1.75</v>
      </c>
      <c r="I30" s="54">
        <f t="shared" si="3"/>
        <v>1</v>
      </c>
      <c r="J30" s="54">
        <f t="shared" si="3"/>
        <v>1</v>
      </c>
      <c r="K30" s="54">
        <f t="shared" si="3"/>
        <v>1</v>
      </c>
      <c r="L30" s="54">
        <f t="shared" si="3"/>
        <v>0.77777777777777779</v>
      </c>
      <c r="M30" s="54">
        <f t="shared" si="3"/>
        <v>1</v>
      </c>
      <c r="N30" s="53">
        <f t="shared" si="3"/>
        <v>0.54545454545454541</v>
      </c>
      <c r="O30" s="53">
        <f t="shared" si="3"/>
        <v>0.75</v>
      </c>
      <c r="P30" s="53">
        <f t="shared" si="3"/>
        <v>0.9</v>
      </c>
    </row>
    <row r="31" spans="2:16" x14ac:dyDescent="0.2">
      <c r="B31" s="135"/>
      <c r="C31" s="136"/>
      <c r="D31" s="12" t="s">
        <v>41</v>
      </c>
      <c r="E31" s="56" t="s">
        <v>73</v>
      </c>
      <c r="F31" s="56" t="s">
        <v>75</v>
      </c>
      <c r="G31" s="56" t="s">
        <v>77</v>
      </c>
      <c r="H31" s="56">
        <v>9.0399999999999991</v>
      </c>
      <c r="I31" s="62">
        <v>22.77</v>
      </c>
      <c r="J31" s="56">
        <v>51.52</v>
      </c>
      <c r="K31" s="62">
        <v>13.91</v>
      </c>
      <c r="L31" s="56">
        <v>139.82</v>
      </c>
      <c r="M31" s="62">
        <v>25.8</v>
      </c>
      <c r="N31" s="55">
        <v>851.61</v>
      </c>
      <c r="O31" s="61">
        <v>264.8</v>
      </c>
      <c r="P31" s="55">
        <v>103.14</v>
      </c>
    </row>
    <row r="32" spans="2:16" x14ac:dyDescent="0.2">
      <c r="B32" s="137"/>
      <c r="C32" s="138"/>
      <c r="D32" s="11" t="s">
        <v>42</v>
      </c>
      <c r="E32" s="60" t="s">
        <v>74</v>
      </c>
      <c r="F32" s="59" t="s">
        <v>76</v>
      </c>
      <c r="G32" s="60" t="s">
        <v>78</v>
      </c>
      <c r="H32" s="59">
        <v>2.2599999999999998</v>
      </c>
      <c r="I32" s="60">
        <v>7.59</v>
      </c>
      <c r="J32" s="59">
        <v>10.3</v>
      </c>
      <c r="K32" s="60">
        <v>4.6399999999999997</v>
      </c>
      <c r="L32" s="59">
        <v>15.54</v>
      </c>
      <c r="M32" s="60">
        <v>25.8</v>
      </c>
      <c r="N32" s="64">
        <v>25.81</v>
      </c>
      <c r="O32" s="63">
        <v>33.1</v>
      </c>
      <c r="P32" s="64">
        <v>10.31</v>
      </c>
    </row>
    <row r="34" spans="2:16" s="3" customFormat="1" x14ac:dyDescent="0.2">
      <c r="B34" s="141" t="s">
        <v>20</v>
      </c>
      <c r="C34" s="142"/>
      <c r="D34" s="142"/>
      <c r="E34" s="142"/>
      <c r="F34" s="142"/>
      <c r="G34" s="142"/>
      <c r="H34" s="143"/>
      <c r="I34" s="163" t="s">
        <v>1</v>
      </c>
      <c r="J34" s="164"/>
      <c r="K34" s="163" t="s">
        <v>2</v>
      </c>
      <c r="L34" s="164"/>
      <c r="M34" s="163" t="s">
        <v>3</v>
      </c>
      <c r="N34" s="164"/>
      <c r="O34" s="163" t="s">
        <v>4</v>
      </c>
      <c r="P34" s="164"/>
    </row>
    <row r="35" spans="2:16" ht="12.75" customHeight="1" x14ac:dyDescent="0.2">
      <c r="B35" s="159" t="s">
        <v>54</v>
      </c>
      <c r="C35" s="160"/>
      <c r="D35" s="160"/>
      <c r="E35" s="144" t="s">
        <v>55</v>
      </c>
      <c r="F35" s="144"/>
      <c r="G35" s="144"/>
      <c r="H35" s="144"/>
      <c r="I35" s="165"/>
      <c r="J35" s="166"/>
      <c r="K35" s="165"/>
      <c r="L35" s="166"/>
      <c r="M35" s="165"/>
      <c r="N35" s="166"/>
      <c r="O35" s="165"/>
      <c r="P35" s="166"/>
    </row>
    <row r="36" spans="2:16" x14ac:dyDescent="0.2">
      <c r="B36" s="160"/>
      <c r="C36" s="160"/>
      <c r="D36" s="160"/>
      <c r="E36" s="144" t="s">
        <v>21</v>
      </c>
      <c r="F36" s="144"/>
      <c r="G36" s="144"/>
      <c r="H36" s="144"/>
      <c r="I36" s="165"/>
      <c r="J36" s="166"/>
      <c r="K36" s="165"/>
      <c r="L36" s="166"/>
      <c r="M36" s="165"/>
      <c r="N36" s="166"/>
      <c r="O36" s="165"/>
      <c r="P36" s="166"/>
    </row>
    <row r="37" spans="2:16" x14ac:dyDescent="0.2">
      <c r="B37" s="160"/>
      <c r="C37" s="160"/>
      <c r="D37" s="160"/>
      <c r="E37" s="144" t="s">
        <v>56</v>
      </c>
      <c r="F37" s="144"/>
      <c r="G37" s="144"/>
      <c r="H37" s="144"/>
      <c r="I37" s="165"/>
      <c r="J37" s="166"/>
      <c r="K37" s="165"/>
      <c r="L37" s="166"/>
      <c r="M37" s="165"/>
      <c r="N37" s="166"/>
      <c r="O37" s="165"/>
      <c r="P37" s="166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93" t="s">
        <v>22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69</v>
      </c>
      <c r="G43" s="6" t="s">
        <v>34</v>
      </c>
      <c r="H43" s="115" t="s">
        <v>70</v>
      </c>
      <c r="I43" s="115"/>
      <c r="J43" s="115"/>
      <c r="L43" s="6" t="s">
        <v>35</v>
      </c>
      <c r="M43" s="116" t="s">
        <v>71</v>
      </c>
      <c r="N43" s="115"/>
      <c r="O43" s="115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  <c r="H47" s="83"/>
      <c r="I47" s="83"/>
      <c r="J47" s="83"/>
      <c r="K47" s="83"/>
      <c r="L47" s="83"/>
      <c r="M47" s="83"/>
      <c r="N47" s="83"/>
    </row>
    <row r="48" spans="2:16" x14ac:dyDescent="0.2">
      <c r="B48" s="7" t="s">
        <v>25</v>
      </c>
      <c r="H48" s="84"/>
      <c r="I48" s="83"/>
      <c r="J48" s="83"/>
      <c r="K48" s="83"/>
      <c r="L48" s="83"/>
      <c r="M48" s="83"/>
      <c r="N48" s="83"/>
    </row>
    <row r="49" spans="2:14" x14ac:dyDescent="0.2">
      <c r="B49" s="7" t="s">
        <v>57</v>
      </c>
      <c r="H49" s="83"/>
      <c r="I49" s="83"/>
      <c r="J49" s="83"/>
      <c r="K49" s="83"/>
      <c r="L49" s="83"/>
      <c r="M49" s="83"/>
      <c r="N49" s="83"/>
    </row>
  </sheetData>
  <mergeCells count="43"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3" r:id="rId1" display="keithb@volcanotel.com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/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20" t="s">
        <v>23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2:16" s="3" customFormat="1" ht="13.5" thickBot="1" x14ac:dyDescent="0.25">
      <c r="B2" s="3" t="s">
        <v>36</v>
      </c>
      <c r="D2" s="145" t="s">
        <v>58</v>
      </c>
      <c r="E2" s="145"/>
      <c r="I2" s="4" t="s">
        <v>32</v>
      </c>
      <c r="J2" s="9">
        <v>1019</v>
      </c>
      <c r="M2" s="3" t="s">
        <v>37</v>
      </c>
      <c r="N2" s="6"/>
      <c r="O2" s="9">
        <f>'Total Company'!O2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2" t="s">
        <v>0</v>
      </c>
      <c r="C7" s="153"/>
      <c r="D7" s="154"/>
      <c r="E7" s="161" t="s">
        <v>65</v>
      </c>
      <c r="F7" s="106"/>
      <c r="G7" s="106"/>
      <c r="H7" s="161" t="s">
        <v>66</v>
      </c>
      <c r="I7" s="106"/>
      <c r="J7" s="146"/>
      <c r="K7" s="101" t="s">
        <v>67</v>
      </c>
      <c r="L7" s="106"/>
      <c r="M7" s="106"/>
      <c r="N7" s="162" t="s">
        <v>68</v>
      </c>
      <c r="O7" s="125"/>
      <c r="P7" s="126"/>
    </row>
    <row r="8" spans="2:16" s="2" customFormat="1" ht="12.75" customHeight="1" x14ac:dyDescent="0.2">
      <c r="B8" s="155"/>
      <c r="C8" s="156"/>
      <c r="D8" s="157"/>
      <c r="E8" s="107"/>
      <c r="F8" s="108"/>
      <c r="G8" s="108"/>
      <c r="H8" s="107"/>
      <c r="I8" s="108"/>
      <c r="J8" s="147"/>
      <c r="K8" s="108"/>
      <c r="L8" s="108"/>
      <c r="M8" s="108"/>
      <c r="N8" s="127"/>
      <c r="O8" s="128"/>
      <c r="P8" s="129"/>
    </row>
    <row r="9" spans="2:16" ht="12.75" customHeight="1" x14ac:dyDescent="0.2">
      <c r="B9" s="155"/>
      <c r="C9" s="156"/>
      <c r="D9" s="157"/>
      <c r="E9" s="117" t="s">
        <v>1</v>
      </c>
      <c r="F9" s="118"/>
      <c r="G9" s="119"/>
      <c r="H9" s="117" t="s">
        <v>2</v>
      </c>
      <c r="I9" s="118"/>
      <c r="J9" s="119"/>
      <c r="K9" s="117" t="s">
        <v>3</v>
      </c>
      <c r="L9" s="118"/>
      <c r="M9" s="119"/>
      <c r="N9" s="109" t="s">
        <v>4</v>
      </c>
      <c r="O9" s="110"/>
      <c r="P9" s="111"/>
    </row>
    <row r="10" spans="2:16" s="10" customFormat="1" ht="12.75" customHeight="1" x14ac:dyDescent="0.2">
      <c r="B10" s="137"/>
      <c r="C10" s="158"/>
      <c r="D10" s="138"/>
      <c r="E10" s="25" t="s">
        <v>5</v>
      </c>
      <c r="F10" s="25" t="s">
        <v>6</v>
      </c>
      <c r="G10" s="26" t="s">
        <v>7</v>
      </c>
      <c r="H10" s="25" t="s">
        <v>8</v>
      </c>
      <c r="I10" s="26" t="s">
        <v>9</v>
      </c>
      <c r="J10" s="25" t="s">
        <v>10</v>
      </c>
      <c r="K10" s="26" t="s">
        <v>11</v>
      </c>
      <c r="L10" s="25" t="s">
        <v>12</v>
      </c>
      <c r="M10" s="26" t="s">
        <v>13</v>
      </c>
      <c r="N10" s="23" t="s">
        <v>14</v>
      </c>
      <c r="O10" s="24" t="s">
        <v>15</v>
      </c>
      <c r="P10" s="23" t="s">
        <v>16</v>
      </c>
    </row>
    <row r="11" spans="2:16" ht="12.75" customHeight="1" x14ac:dyDescent="0.2">
      <c r="B11" s="133" t="s">
        <v>43</v>
      </c>
      <c r="C11" s="134"/>
      <c r="D11" s="11" t="s">
        <v>26</v>
      </c>
      <c r="E11" s="74">
        <v>11</v>
      </c>
      <c r="F11" s="38">
        <v>16</v>
      </c>
      <c r="G11" s="39">
        <v>14</v>
      </c>
      <c r="H11" s="38">
        <v>5</v>
      </c>
      <c r="I11" s="38">
        <v>17</v>
      </c>
      <c r="J11" s="38">
        <v>15</v>
      </c>
      <c r="K11" s="38">
        <v>30</v>
      </c>
      <c r="L11" s="38">
        <v>26</v>
      </c>
      <c r="M11" s="38">
        <v>28</v>
      </c>
      <c r="N11" s="36">
        <v>13</v>
      </c>
      <c r="O11" s="36">
        <v>24</v>
      </c>
      <c r="P11" s="36">
        <v>7</v>
      </c>
    </row>
    <row r="12" spans="2:16" x14ac:dyDescent="0.2">
      <c r="B12" s="135"/>
      <c r="C12" s="136"/>
      <c r="D12" s="12" t="s">
        <v>27</v>
      </c>
      <c r="E12" s="39">
        <v>10</v>
      </c>
      <c r="F12" s="38">
        <v>13</v>
      </c>
      <c r="G12" s="39">
        <v>13</v>
      </c>
      <c r="H12" s="38">
        <v>10</v>
      </c>
      <c r="I12" s="38">
        <v>8</v>
      </c>
      <c r="J12" s="38">
        <v>12</v>
      </c>
      <c r="K12" s="38">
        <v>21</v>
      </c>
      <c r="L12" s="38">
        <v>22</v>
      </c>
      <c r="M12" s="38">
        <v>13</v>
      </c>
      <c r="N12" s="36">
        <v>10</v>
      </c>
      <c r="O12" s="36">
        <v>19</v>
      </c>
      <c r="P12" s="36">
        <v>11</v>
      </c>
    </row>
    <row r="13" spans="2:16" x14ac:dyDescent="0.2">
      <c r="B13" s="137"/>
      <c r="C13" s="138"/>
      <c r="D13" s="11" t="s">
        <v>28</v>
      </c>
      <c r="E13" s="77">
        <f t="shared" ref="E13:P13" si="0">+E11/E12</f>
        <v>1.1000000000000001</v>
      </c>
      <c r="F13" s="77">
        <f t="shared" si="0"/>
        <v>1.2307692307692308</v>
      </c>
      <c r="G13" s="77">
        <f t="shared" si="0"/>
        <v>1.0769230769230769</v>
      </c>
      <c r="H13" s="77">
        <f t="shared" si="0"/>
        <v>0.5</v>
      </c>
      <c r="I13" s="77">
        <f t="shared" si="0"/>
        <v>2.125</v>
      </c>
      <c r="J13" s="77">
        <f t="shared" si="0"/>
        <v>1.25</v>
      </c>
      <c r="K13" s="77">
        <f t="shared" si="0"/>
        <v>1.4285714285714286</v>
      </c>
      <c r="L13" s="77">
        <f t="shared" si="0"/>
        <v>1.1818181818181819</v>
      </c>
      <c r="M13" s="77">
        <f t="shared" si="0"/>
        <v>2.1538461538461537</v>
      </c>
      <c r="N13" s="50">
        <f t="shared" si="0"/>
        <v>1.3</v>
      </c>
      <c r="O13" s="50">
        <f t="shared" si="0"/>
        <v>1.263157894736842</v>
      </c>
      <c r="P13" s="50">
        <f t="shared" si="0"/>
        <v>0.63636363636363635</v>
      </c>
    </row>
    <row r="14" spans="2:16" ht="12.75" customHeight="1" x14ac:dyDescent="0.2">
      <c r="B14" s="133" t="s">
        <v>44</v>
      </c>
      <c r="C14" s="134"/>
      <c r="D14" s="13" t="s">
        <v>45</v>
      </c>
      <c r="E14" s="45">
        <v>96</v>
      </c>
      <c r="F14" s="44">
        <v>83</v>
      </c>
      <c r="G14" s="45">
        <v>99</v>
      </c>
      <c r="H14" s="38">
        <f>57+30+4</f>
        <v>91</v>
      </c>
      <c r="I14" s="38">
        <f>55+14</f>
        <v>69</v>
      </c>
      <c r="J14" s="38">
        <f>71+22+2</f>
        <v>95</v>
      </c>
      <c r="K14" s="38">
        <f>80+22+1</f>
        <v>103</v>
      </c>
      <c r="L14" s="38">
        <f>67+19+4</f>
        <v>90</v>
      </c>
      <c r="M14" s="38">
        <f>39+25+3</f>
        <v>67</v>
      </c>
      <c r="N14" s="36">
        <f>71+28+7</f>
        <v>106</v>
      </c>
      <c r="O14" s="36">
        <f>62+24+5</f>
        <v>91</v>
      </c>
      <c r="P14" s="36">
        <f>84+20+5</f>
        <v>109</v>
      </c>
    </row>
    <row r="15" spans="2:16" ht="15" customHeight="1" x14ac:dyDescent="0.2">
      <c r="B15" s="135"/>
      <c r="C15" s="136"/>
      <c r="D15" s="14" t="s">
        <v>29</v>
      </c>
      <c r="E15" s="39">
        <v>96</v>
      </c>
      <c r="F15" s="38">
        <v>83</v>
      </c>
      <c r="G15" s="39">
        <v>99</v>
      </c>
      <c r="H15" s="38">
        <v>91</v>
      </c>
      <c r="I15" s="38">
        <v>69</v>
      </c>
      <c r="J15" s="38">
        <v>95</v>
      </c>
      <c r="K15" s="38">
        <f>80+22+1</f>
        <v>103</v>
      </c>
      <c r="L15" s="38">
        <f>67+19+4</f>
        <v>90</v>
      </c>
      <c r="M15" s="38">
        <f>39+25+3</f>
        <v>67</v>
      </c>
      <c r="N15" s="36">
        <v>106</v>
      </c>
      <c r="O15" s="36">
        <v>91</v>
      </c>
      <c r="P15" s="36">
        <v>109</v>
      </c>
    </row>
    <row r="16" spans="2:16" ht="13.5" customHeight="1" x14ac:dyDescent="0.2">
      <c r="B16" s="135"/>
      <c r="C16" s="136"/>
      <c r="D16" s="14" t="s">
        <v>30</v>
      </c>
      <c r="E16" s="38">
        <f>E14-E15</f>
        <v>0</v>
      </c>
      <c r="F16" s="38">
        <f>F14-F15</f>
        <v>0</v>
      </c>
      <c r="G16" s="38">
        <f>G14-G15</f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66">
        <v>0</v>
      </c>
      <c r="O16" s="66">
        <v>0</v>
      </c>
      <c r="P16" s="66">
        <v>0</v>
      </c>
    </row>
    <row r="17" spans="2:16" x14ac:dyDescent="0.2">
      <c r="B17" s="137"/>
      <c r="C17" s="138"/>
      <c r="D17" s="11" t="s">
        <v>17</v>
      </c>
      <c r="E17" s="75">
        <f t="shared" ref="E17:P17" si="1">E15/E14</f>
        <v>1</v>
      </c>
      <c r="F17" s="75">
        <f t="shared" si="1"/>
        <v>1</v>
      </c>
      <c r="G17" s="75">
        <f t="shared" si="1"/>
        <v>1</v>
      </c>
      <c r="H17" s="75">
        <f t="shared" si="1"/>
        <v>1</v>
      </c>
      <c r="I17" s="75">
        <f t="shared" si="1"/>
        <v>1</v>
      </c>
      <c r="J17" s="75">
        <f t="shared" si="1"/>
        <v>1</v>
      </c>
      <c r="K17" s="75">
        <f t="shared" si="1"/>
        <v>1</v>
      </c>
      <c r="L17" s="75">
        <f t="shared" si="1"/>
        <v>1</v>
      </c>
      <c r="M17" s="75">
        <f t="shared" si="1"/>
        <v>1</v>
      </c>
      <c r="N17" s="52">
        <f t="shared" si="1"/>
        <v>1</v>
      </c>
      <c r="O17" s="52">
        <f t="shared" si="1"/>
        <v>1</v>
      </c>
      <c r="P17" s="52">
        <f t="shared" si="1"/>
        <v>1</v>
      </c>
    </row>
    <row r="18" spans="2:16" x14ac:dyDescent="0.2">
      <c r="B18" s="139" t="s">
        <v>18</v>
      </c>
      <c r="C18" s="140"/>
      <c r="D18" s="27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</row>
    <row r="19" spans="2:16" x14ac:dyDescent="0.2">
      <c r="B19" s="148" t="s">
        <v>19</v>
      </c>
      <c r="C19" s="112" t="s">
        <v>46</v>
      </c>
      <c r="D19" s="29" t="s">
        <v>47</v>
      </c>
      <c r="E19" s="45"/>
      <c r="F19" s="44"/>
      <c r="G19" s="45"/>
      <c r="H19" s="44"/>
      <c r="I19" s="45"/>
      <c r="J19" s="44"/>
      <c r="K19" s="45"/>
      <c r="L19" s="44"/>
      <c r="M19" s="45"/>
      <c r="N19" s="44"/>
      <c r="O19" s="45"/>
      <c r="P19" s="44"/>
    </row>
    <row r="20" spans="2:16" x14ac:dyDescent="0.2">
      <c r="B20" s="149"/>
      <c r="C20" s="113"/>
      <c r="D20" s="27" t="s">
        <v>48</v>
      </c>
      <c r="E20" s="39"/>
      <c r="F20" s="38"/>
      <c r="G20" s="39"/>
      <c r="H20" s="38"/>
      <c r="I20" s="39"/>
      <c r="J20" s="38"/>
      <c r="K20" s="39"/>
      <c r="L20" s="38"/>
      <c r="M20" s="39"/>
      <c r="N20" s="38"/>
      <c r="O20" s="39"/>
      <c r="P20" s="38"/>
    </row>
    <row r="21" spans="2:16" x14ac:dyDescent="0.2">
      <c r="B21" s="149"/>
      <c r="C21" s="114"/>
      <c r="D21" s="28" t="s">
        <v>40</v>
      </c>
      <c r="E21" s="41"/>
      <c r="F21" s="40"/>
      <c r="G21" s="41"/>
      <c r="H21" s="40"/>
      <c r="I21" s="41"/>
      <c r="J21" s="40"/>
      <c r="K21" s="41"/>
      <c r="L21" s="40"/>
      <c r="M21" s="41"/>
      <c r="N21" s="40"/>
      <c r="O21" s="41"/>
      <c r="P21" s="40"/>
    </row>
    <row r="22" spans="2:16" ht="12.75" customHeight="1" x14ac:dyDescent="0.2">
      <c r="B22" s="149"/>
      <c r="C22" s="130" t="s">
        <v>31</v>
      </c>
      <c r="D22" s="13" t="s">
        <v>47</v>
      </c>
      <c r="E22" s="45">
        <v>1713</v>
      </c>
      <c r="F22" s="44">
        <v>1707</v>
      </c>
      <c r="G22" s="45">
        <v>1712</v>
      </c>
      <c r="H22" s="38">
        <v>1714</v>
      </c>
      <c r="I22" s="38">
        <v>1715</v>
      </c>
      <c r="J22" s="38">
        <v>1719</v>
      </c>
      <c r="K22" s="38">
        <v>1720</v>
      </c>
      <c r="L22" s="38">
        <v>1721</v>
      </c>
      <c r="M22" s="38">
        <v>1729</v>
      </c>
      <c r="N22" s="36">
        <v>1721</v>
      </c>
      <c r="O22" s="36">
        <v>1722</v>
      </c>
      <c r="P22" s="36">
        <v>1723</v>
      </c>
    </row>
    <row r="23" spans="2:16" x14ac:dyDescent="0.2">
      <c r="B23" s="149"/>
      <c r="C23" s="131"/>
      <c r="D23" s="12" t="s">
        <v>48</v>
      </c>
      <c r="E23" s="39">
        <v>4</v>
      </c>
      <c r="F23" s="38">
        <v>9</v>
      </c>
      <c r="G23" s="39">
        <v>4</v>
      </c>
      <c r="H23" s="38">
        <v>7</v>
      </c>
      <c r="I23" s="38">
        <v>4</v>
      </c>
      <c r="J23" s="38">
        <v>5</v>
      </c>
      <c r="K23" s="38">
        <v>2</v>
      </c>
      <c r="L23" s="38">
        <v>5</v>
      </c>
      <c r="M23" s="38">
        <v>3</v>
      </c>
      <c r="N23" s="36">
        <v>11</v>
      </c>
      <c r="O23" s="36">
        <v>4</v>
      </c>
      <c r="P23" s="36">
        <v>6</v>
      </c>
    </row>
    <row r="24" spans="2:16" x14ac:dyDescent="0.2">
      <c r="B24" s="149"/>
      <c r="C24" s="132"/>
      <c r="D24" s="11" t="s">
        <v>40</v>
      </c>
      <c r="E24" s="54">
        <f t="shared" ref="E24:P24" si="2">E23/E22</f>
        <v>2.3350846468184472E-3</v>
      </c>
      <c r="F24" s="54">
        <f t="shared" si="2"/>
        <v>5.272407732864675E-3</v>
      </c>
      <c r="G24" s="54">
        <f t="shared" si="2"/>
        <v>2.3364485981308409E-3</v>
      </c>
      <c r="H24" s="54">
        <f t="shared" si="2"/>
        <v>4.0840140023337222E-3</v>
      </c>
      <c r="I24" s="54">
        <f t="shared" si="2"/>
        <v>2.3323615160349854E-3</v>
      </c>
      <c r="J24" s="54">
        <f t="shared" si="2"/>
        <v>2.9086678301337987E-3</v>
      </c>
      <c r="K24" s="54">
        <f t="shared" si="2"/>
        <v>1.1627906976744186E-3</v>
      </c>
      <c r="L24" s="54">
        <f t="shared" si="2"/>
        <v>2.905287623474724E-3</v>
      </c>
      <c r="M24" s="54">
        <f t="shared" si="2"/>
        <v>1.735106998264893E-3</v>
      </c>
      <c r="N24" s="53">
        <f t="shared" si="2"/>
        <v>6.3916327716443929E-3</v>
      </c>
      <c r="O24" s="53">
        <f t="shared" si="2"/>
        <v>2.3228803716608595E-3</v>
      </c>
      <c r="P24" s="53">
        <f t="shared" si="2"/>
        <v>3.4822983168891469E-3</v>
      </c>
    </row>
    <row r="25" spans="2:16" ht="12.75" customHeight="1" x14ac:dyDescent="0.2">
      <c r="B25" s="149"/>
      <c r="C25" s="112" t="s">
        <v>49</v>
      </c>
      <c r="D25" s="29" t="s">
        <v>47</v>
      </c>
      <c r="E25" s="45"/>
      <c r="F25" s="44"/>
      <c r="G25" s="45"/>
      <c r="H25" s="44"/>
      <c r="I25" s="45"/>
      <c r="J25" s="44"/>
      <c r="K25" s="45"/>
      <c r="L25" s="44"/>
      <c r="M25" s="45"/>
      <c r="N25" s="44"/>
      <c r="O25" s="45"/>
      <c r="P25" s="44"/>
    </row>
    <row r="26" spans="2:16" x14ac:dyDescent="0.2">
      <c r="B26" s="149"/>
      <c r="C26" s="113"/>
      <c r="D26" s="27" t="s">
        <v>48</v>
      </c>
      <c r="E26" s="39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</row>
    <row r="27" spans="2:16" x14ac:dyDescent="0.2">
      <c r="B27" s="150"/>
      <c r="C27" s="114"/>
      <c r="D27" s="28" t="s">
        <v>40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2:16" x14ac:dyDescent="0.2">
      <c r="B28" s="151" t="s">
        <v>50</v>
      </c>
      <c r="C28" s="134"/>
      <c r="D28" s="15" t="s">
        <v>51</v>
      </c>
      <c r="E28" s="38">
        <v>1</v>
      </c>
      <c r="F28" s="38">
        <v>18</v>
      </c>
      <c r="G28" s="38">
        <v>6</v>
      </c>
      <c r="H28" s="44">
        <v>4</v>
      </c>
      <c r="I28" s="45">
        <v>2</v>
      </c>
      <c r="J28" s="44">
        <v>3</v>
      </c>
      <c r="K28" s="45">
        <v>4</v>
      </c>
      <c r="L28" s="44">
        <v>3</v>
      </c>
      <c r="M28" s="45">
        <v>8</v>
      </c>
      <c r="N28" s="43">
        <v>38</v>
      </c>
      <c r="O28" s="42">
        <v>18</v>
      </c>
      <c r="P28" s="43">
        <v>10</v>
      </c>
    </row>
    <row r="29" spans="2:16" x14ac:dyDescent="0.2">
      <c r="B29" s="135"/>
      <c r="C29" s="136"/>
      <c r="D29" s="12" t="s">
        <v>52</v>
      </c>
      <c r="E29" s="38">
        <v>1</v>
      </c>
      <c r="F29" s="38">
        <v>16</v>
      </c>
      <c r="G29" s="38">
        <v>6</v>
      </c>
      <c r="H29" s="38">
        <v>4</v>
      </c>
      <c r="I29" s="39">
        <v>2</v>
      </c>
      <c r="J29" s="38">
        <v>2</v>
      </c>
      <c r="K29" s="39">
        <v>4</v>
      </c>
      <c r="L29" s="38">
        <v>3</v>
      </c>
      <c r="M29" s="39">
        <v>5</v>
      </c>
      <c r="N29" s="36">
        <v>27</v>
      </c>
      <c r="O29" s="37">
        <v>14</v>
      </c>
      <c r="P29" s="36">
        <v>6</v>
      </c>
    </row>
    <row r="30" spans="2:16" x14ac:dyDescent="0.2">
      <c r="B30" s="135"/>
      <c r="C30" s="136"/>
      <c r="D30" s="16" t="s">
        <v>53</v>
      </c>
      <c r="E30" s="54">
        <f t="shared" ref="E30:P30" si="3">E29/E28</f>
        <v>1</v>
      </c>
      <c r="F30" s="54">
        <f t="shared" si="3"/>
        <v>0.88888888888888884</v>
      </c>
      <c r="G30" s="54">
        <f t="shared" si="3"/>
        <v>1</v>
      </c>
      <c r="H30" s="54">
        <f t="shared" si="3"/>
        <v>1</v>
      </c>
      <c r="I30" s="54">
        <f t="shared" si="3"/>
        <v>1</v>
      </c>
      <c r="J30" s="54">
        <f t="shared" si="3"/>
        <v>0.66666666666666663</v>
      </c>
      <c r="K30" s="54">
        <f t="shared" si="3"/>
        <v>1</v>
      </c>
      <c r="L30" s="54">
        <f t="shared" si="3"/>
        <v>1</v>
      </c>
      <c r="M30" s="54">
        <f t="shared" si="3"/>
        <v>0.625</v>
      </c>
      <c r="N30" s="53">
        <f t="shared" si="3"/>
        <v>0.71052631578947367</v>
      </c>
      <c r="O30" s="53">
        <f t="shared" si="3"/>
        <v>0.77777777777777779</v>
      </c>
      <c r="P30" s="53">
        <f t="shared" si="3"/>
        <v>0.6</v>
      </c>
    </row>
    <row r="31" spans="2:16" x14ac:dyDescent="0.2">
      <c r="B31" s="135"/>
      <c r="C31" s="136"/>
      <c r="D31" s="12" t="s">
        <v>41</v>
      </c>
      <c r="E31" s="56" t="s">
        <v>79</v>
      </c>
      <c r="F31" s="56" t="s">
        <v>80</v>
      </c>
      <c r="G31" s="56" t="s">
        <v>82</v>
      </c>
      <c r="H31" s="56">
        <v>22.02</v>
      </c>
      <c r="I31" s="62">
        <v>23.01</v>
      </c>
      <c r="J31" s="56">
        <v>39.17</v>
      </c>
      <c r="K31" s="62">
        <v>30.94</v>
      </c>
      <c r="L31" s="56">
        <v>49.32</v>
      </c>
      <c r="M31" s="62">
        <v>1118</v>
      </c>
      <c r="N31" s="55">
        <v>1399.34</v>
      </c>
      <c r="O31" s="61">
        <v>297.47000000000003</v>
      </c>
      <c r="P31" s="55">
        <v>180.07</v>
      </c>
    </row>
    <row r="32" spans="2:16" x14ac:dyDescent="0.2">
      <c r="B32" s="137"/>
      <c r="C32" s="138"/>
      <c r="D32" s="11" t="s">
        <v>42</v>
      </c>
      <c r="E32" s="60" t="s">
        <v>79</v>
      </c>
      <c r="F32" s="59" t="s">
        <v>81</v>
      </c>
      <c r="G32" s="60" t="s">
        <v>83</v>
      </c>
      <c r="H32" s="59">
        <v>5.5</v>
      </c>
      <c r="I32" s="60">
        <v>11.5</v>
      </c>
      <c r="J32" s="59">
        <v>13.06</v>
      </c>
      <c r="K32" s="60">
        <v>7.74</v>
      </c>
      <c r="L32" s="59">
        <v>16.440000000000001</v>
      </c>
      <c r="M32" s="60">
        <v>139.75</v>
      </c>
      <c r="N32" s="64">
        <v>36.82</v>
      </c>
      <c r="O32" s="63">
        <v>16.53</v>
      </c>
      <c r="P32" s="64">
        <v>18.010000000000002</v>
      </c>
    </row>
    <row r="34" spans="2:16" s="3" customFormat="1" x14ac:dyDescent="0.2">
      <c r="B34" s="141" t="s">
        <v>20</v>
      </c>
      <c r="C34" s="142"/>
      <c r="D34" s="142"/>
      <c r="E34" s="142"/>
      <c r="F34" s="142"/>
      <c r="G34" s="142"/>
      <c r="H34" s="143"/>
      <c r="I34" s="163" t="s">
        <v>1</v>
      </c>
      <c r="J34" s="164"/>
      <c r="K34" s="163" t="s">
        <v>2</v>
      </c>
      <c r="L34" s="164"/>
      <c r="M34" s="163" t="s">
        <v>3</v>
      </c>
      <c r="N34" s="164"/>
      <c r="O34" s="163" t="s">
        <v>4</v>
      </c>
      <c r="P34" s="164"/>
    </row>
    <row r="35" spans="2:16" ht="12.75" customHeight="1" x14ac:dyDescent="0.2">
      <c r="B35" s="159" t="s">
        <v>54</v>
      </c>
      <c r="C35" s="160"/>
      <c r="D35" s="160"/>
      <c r="E35" s="144" t="s">
        <v>55</v>
      </c>
      <c r="F35" s="144"/>
      <c r="G35" s="144"/>
      <c r="H35" s="144"/>
      <c r="I35" s="165"/>
      <c r="J35" s="166"/>
      <c r="K35" s="165"/>
      <c r="L35" s="166"/>
      <c r="M35" s="165"/>
      <c r="N35" s="166"/>
      <c r="O35" s="165"/>
      <c r="P35" s="166"/>
    </row>
    <row r="36" spans="2:16" x14ac:dyDescent="0.2">
      <c r="B36" s="160"/>
      <c r="C36" s="160"/>
      <c r="D36" s="160"/>
      <c r="E36" s="144" t="s">
        <v>21</v>
      </c>
      <c r="F36" s="144"/>
      <c r="G36" s="144"/>
      <c r="H36" s="144"/>
      <c r="I36" s="165"/>
      <c r="J36" s="166"/>
      <c r="K36" s="165"/>
      <c r="L36" s="166"/>
      <c r="M36" s="165"/>
      <c r="N36" s="166"/>
      <c r="O36" s="165"/>
      <c r="P36" s="166"/>
    </row>
    <row r="37" spans="2:16" x14ac:dyDescent="0.2">
      <c r="B37" s="160"/>
      <c r="C37" s="160"/>
      <c r="D37" s="160"/>
      <c r="E37" s="144" t="s">
        <v>56</v>
      </c>
      <c r="F37" s="144"/>
      <c r="G37" s="144"/>
      <c r="H37" s="144"/>
      <c r="I37" s="165"/>
      <c r="J37" s="166"/>
      <c r="K37" s="165"/>
      <c r="L37" s="166"/>
      <c r="M37" s="165"/>
      <c r="N37" s="166"/>
      <c r="O37" s="165"/>
      <c r="P37" s="166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93" t="s">
        <v>22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69</v>
      </c>
      <c r="G43" s="6" t="s">
        <v>34</v>
      </c>
      <c r="H43" s="115" t="s">
        <v>70</v>
      </c>
      <c r="I43" s="115"/>
      <c r="J43" s="115"/>
      <c r="L43" s="6" t="s">
        <v>35</v>
      </c>
      <c r="M43" s="116" t="s">
        <v>71</v>
      </c>
      <c r="N43" s="115"/>
      <c r="O43" s="115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  <c r="H47" s="83"/>
      <c r="I47" s="83"/>
      <c r="J47" s="83"/>
      <c r="K47" s="83"/>
      <c r="L47" s="83"/>
      <c r="M47" s="83"/>
      <c r="N47" s="83"/>
    </row>
    <row r="48" spans="2:16" x14ac:dyDescent="0.2">
      <c r="B48" s="7" t="s">
        <v>25</v>
      </c>
      <c r="H48" s="84"/>
      <c r="I48" s="83"/>
      <c r="J48" s="83"/>
      <c r="K48" s="83"/>
      <c r="L48" s="83"/>
      <c r="M48" s="83"/>
      <c r="N48" s="83"/>
    </row>
    <row r="49" spans="2:14" x14ac:dyDescent="0.2">
      <c r="B49" s="7" t="s">
        <v>57</v>
      </c>
      <c r="H49" s="83"/>
      <c r="I49" s="83"/>
      <c r="J49" s="83"/>
      <c r="K49" s="83"/>
      <c r="L49" s="83"/>
      <c r="M49" s="83"/>
      <c r="N49" s="83"/>
    </row>
  </sheetData>
  <mergeCells count="43"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3" r:id="rId1" display="keithb@volcanotel.com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Total Company</vt:lpstr>
      <vt:lpstr>Kirkwood 258</vt:lpstr>
      <vt:lpstr>Pine Grove 296</vt:lpstr>
      <vt:lpstr>Pioneer 295</vt:lpstr>
      <vt:lpstr>West Point 293</vt:lpstr>
      <vt:lpstr>'Kirkwood 258'!Print_Area</vt:lpstr>
      <vt:lpstr>'Pine Grove 296'!Print_Area</vt:lpstr>
      <vt:lpstr>'Pioneer 295'!Print_Area</vt:lpstr>
      <vt:lpstr>'Total Company'!Print_Area</vt:lpstr>
      <vt:lpstr>'West Point 293'!Print_Area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2015-11-02T22:31:09Z</cp:lastPrinted>
  <dcterms:created xsi:type="dcterms:W3CDTF">2009-11-05T22:32:05Z</dcterms:created>
  <dcterms:modified xsi:type="dcterms:W3CDTF">2016-02-19T16:58:37Z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